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28860" windowHeight="6315" tabRatio="813"/>
  </bookViews>
  <sheets>
    <sheet name="Instruccions" sheetId="3" r:id="rId1"/>
    <sheet name="Programa 1" sheetId="1" r:id="rId2"/>
    <sheet name="Programa 2" sheetId="4" r:id="rId3"/>
    <sheet name="Programa 3" sheetId="5" r:id="rId4"/>
    <sheet name="Programa 4" sheetId="6" r:id="rId5"/>
  </sheets>
  <definedNames>
    <definedName name="_xlnm.Print_Area" localSheetId="1">'Programa 1'!$A$1:$N$46</definedName>
    <definedName name="_xlnm.Print_Area" localSheetId="2">'Programa 2'!$A$1:$N$44</definedName>
    <definedName name="_xlnm.Print_Area" localSheetId="3">'Programa 3'!$A$1:$N$38</definedName>
    <definedName name="_xlnm.Print_Area" localSheetId="4">'Programa 4'!$A$1:$N$32</definedName>
  </definedNames>
  <calcPr calcId="125725" iterateDelta="1E-4"/>
</workbook>
</file>

<file path=xl/calcChain.xml><?xml version="1.0" encoding="utf-8"?>
<calcChain xmlns="http://schemas.openxmlformats.org/spreadsheetml/2006/main">
  <c r="C42" i="1"/>
  <c r="G12" i="5"/>
  <c r="D12"/>
  <c r="G12" i="1"/>
  <c r="D12"/>
  <c r="G17" l="1"/>
  <c r="G15"/>
  <c r="D17"/>
  <c r="F17"/>
  <c r="C7" i="6"/>
  <c r="A18" i="1" l="1"/>
  <c r="F37" i="4"/>
  <c r="D37"/>
  <c r="C37"/>
  <c r="G37"/>
  <c r="C7" l="1"/>
  <c r="G28" i="6" l="1"/>
  <c r="F28"/>
  <c r="D28"/>
  <c r="D31" s="1"/>
  <c r="C28"/>
  <c r="C31" s="1"/>
  <c r="C6"/>
  <c r="E33" s="1"/>
  <c r="D33" l="1"/>
  <c r="C33"/>
  <c r="G29"/>
  <c r="G32" s="1"/>
  <c r="G31"/>
  <c r="G33" s="1"/>
  <c r="F29"/>
  <c r="F32" s="1"/>
  <c r="F31"/>
  <c r="F33" s="1"/>
  <c r="C29"/>
  <c r="C32" s="1"/>
  <c r="D29"/>
  <c r="D32" s="1"/>
  <c r="B33"/>
  <c r="C14" i="5"/>
  <c r="D14" s="1"/>
  <c r="F14"/>
  <c r="G14" s="1"/>
  <c r="G33"/>
  <c r="G34" s="1"/>
  <c r="F33"/>
  <c r="F34" s="1"/>
  <c r="D33"/>
  <c r="D34" s="1"/>
  <c r="C33"/>
  <c r="C34" s="1"/>
  <c r="C6"/>
  <c r="B39" s="1"/>
  <c r="F16" i="4"/>
  <c r="F15"/>
  <c r="G15" s="1"/>
  <c r="F14"/>
  <c r="G14" s="1"/>
  <c r="F38" s="1"/>
  <c r="F39" s="1"/>
  <c r="F13"/>
  <c r="C16"/>
  <c r="D16" s="1"/>
  <c r="C15"/>
  <c r="C14"/>
  <c r="D14" s="1"/>
  <c r="C38" s="1"/>
  <c r="C39" s="1"/>
  <c r="C40" s="1"/>
  <c r="C42" s="1"/>
  <c r="C43" s="1"/>
  <c r="C13"/>
  <c r="D13" s="1"/>
  <c r="C7" i="1"/>
  <c r="C6" i="4"/>
  <c r="B45" s="1"/>
  <c r="C41" i="1"/>
  <c r="D16"/>
  <c r="F36" i="5" l="1"/>
  <c r="F37" s="1"/>
  <c r="G36"/>
  <c r="G37" s="1"/>
  <c r="D36"/>
  <c r="D37" s="1"/>
  <c r="F15" i="1"/>
  <c r="F16"/>
  <c r="G16"/>
  <c r="C57"/>
  <c r="D15"/>
  <c r="C15"/>
  <c r="C16"/>
  <c r="C17"/>
  <c r="C44" i="4"/>
  <c r="D44"/>
  <c r="C17"/>
  <c r="D17" s="1"/>
  <c r="E39" i="5"/>
  <c r="C36"/>
  <c r="C37" s="1"/>
  <c r="F17" i="4"/>
  <c r="G17" s="1"/>
  <c r="G38"/>
  <c r="G39" s="1"/>
  <c r="D38"/>
  <c r="D39" s="1"/>
  <c r="D15"/>
  <c r="G16"/>
  <c r="E45"/>
  <c r="G13"/>
  <c r="D41" i="1"/>
  <c r="D42" s="1"/>
  <c r="G41"/>
  <c r="F41"/>
  <c r="C6"/>
  <c r="G44" i="4" l="1"/>
  <c r="F44"/>
  <c r="C55" i="1"/>
  <c r="C14" s="1"/>
  <c r="C18" s="1"/>
  <c r="C56"/>
  <c r="D38" i="5"/>
  <c r="C38"/>
  <c r="D39"/>
  <c r="C45" i="4"/>
  <c r="B47" i="1"/>
  <c r="E47"/>
  <c r="G42"/>
  <c r="F42"/>
  <c r="D57"/>
  <c r="C19" l="1"/>
  <c r="C46" s="1"/>
  <c r="C44"/>
  <c r="G57"/>
  <c r="G55" s="1"/>
  <c r="G14" s="1"/>
  <c r="G18" s="1"/>
  <c r="F57"/>
  <c r="F55" s="1"/>
  <c r="F14" s="1"/>
  <c r="F18" s="1"/>
  <c r="D56"/>
  <c r="D55"/>
  <c r="G38" i="5"/>
  <c r="F38"/>
  <c r="D40" i="4"/>
  <c r="D42" s="1"/>
  <c r="C45" i="1" l="1"/>
  <c r="C47" s="1"/>
  <c r="G44"/>
  <c r="G45" s="1"/>
  <c r="G47" s="1"/>
  <c r="G19"/>
  <c r="G46" s="1"/>
  <c r="F44"/>
  <c r="F45" s="1"/>
  <c r="F47" s="1"/>
  <c r="F19"/>
  <c r="F46" s="1"/>
  <c r="D45" i="4"/>
  <c r="D43"/>
  <c r="G56" i="1"/>
  <c r="F56"/>
  <c r="D14"/>
  <c r="G39" i="5"/>
  <c r="F39"/>
  <c r="D18" i="1" l="1"/>
  <c r="F40" i="4"/>
  <c r="F42" s="1"/>
  <c r="F43" s="1"/>
  <c r="F45" s="1"/>
  <c r="G40"/>
  <c r="G42" s="1"/>
  <c r="G43" s="1"/>
  <c r="G45" s="1"/>
  <c r="D44" i="1" l="1"/>
  <c r="D45" s="1"/>
  <c r="D47" s="1"/>
  <c r="D19"/>
  <c r="D46" s="1"/>
  <c r="C39" i="5"/>
</calcChain>
</file>

<file path=xl/sharedStrings.xml><?xml version="1.0" encoding="utf-8"?>
<sst xmlns="http://schemas.openxmlformats.org/spreadsheetml/2006/main" count="329" uniqueCount="154">
  <si>
    <t>Tipo de empresa</t>
  </si>
  <si>
    <t>%</t>
  </si>
  <si>
    <t>Gran empresa</t>
  </si>
  <si>
    <t>Simulació per al càlcul de l'ajut</t>
  </si>
  <si>
    <t>Programa 1: Autoconsum elèctric</t>
  </si>
  <si>
    <t>Despeses</t>
  </si>
  <si>
    <t>Quantitat</t>
  </si>
  <si>
    <t>Import total sense IVA (€)</t>
  </si>
  <si>
    <t>SOL·LICITUD</t>
  </si>
  <si>
    <t>JUSTIFICACIÓ</t>
  </si>
  <si>
    <t>Import total amb IVA (€)</t>
  </si>
  <si>
    <t>Mitjana empresa</t>
  </si>
  <si>
    <t>Petita empresa</t>
  </si>
  <si>
    <t>Estructura</t>
  </si>
  <si>
    <t>Inversor / Convertidor</t>
  </si>
  <si>
    <t>Quadres, proteccions i cables</t>
  </si>
  <si>
    <t>Obres civils, grues i gestió de residus</t>
  </si>
  <si>
    <t>Sistema de control i monitorització</t>
  </si>
  <si>
    <t>Estudis, projectes o memòries tècniques</t>
  </si>
  <si>
    <t>Direcció facultativa</t>
  </si>
  <si>
    <t>Coordinació de Seguretat i Salut</t>
  </si>
  <si>
    <t>Muntatge i costos d'execució</t>
  </si>
  <si>
    <t>Publicitat convocatòria</t>
  </si>
  <si>
    <t>Documentació de tramitació</t>
  </si>
  <si>
    <t>Altres partides necessàries</t>
  </si>
  <si>
    <t>Panells solars</t>
  </si>
  <si>
    <t>Marquesines</t>
  </si>
  <si>
    <t>Eliminació d’amiant</t>
  </si>
  <si>
    <t>Canvi de tensió 230/400V</t>
  </si>
  <si>
    <r>
      <t xml:space="preserve">Ps potència real de la instal·lació de generació fotovoltaica (kWp) </t>
    </r>
    <r>
      <rPr>
        <sz val="11"/>
        <color theme="1"/>
        <rFont val="Calibri"/>
        <family val="2"/>
      </rPr>
      <t>≤ 500 kWp</t>
    </r>
  </si>
  <si>
    <t>Actuació autoconsum</t>
  </si>
  <si>
    <t>Ca1</t>
  </si>
  <si>
    <t>Ca2</t>
  </si>
  <si>
    <t>Ca3</t>
  </si>
  <si>
    <t>Ca4</t>
  </si>
  <si>
    <t>Cost màxim subvencionable generació €/kW (Ca1)</t>
  </si>
  <si>
    <t>Cost unitari (€/kW)</t>
  </si>
  <si>
    <t>Cost (€)</t>
  </si>
  <si>
    <t>Cost complementari subvencionable màxim marquesines €/kWp (Ca2)</t>
  </si>
  <si>
    <t>Cost complementari subvencionable màxim d’eliminació d’amiant €/kWp (Ca3)</t>
  </si>
  <si>
    <t>Cost complementari subvencionable màxim del canvi de tensió 230/400 €/kWp (Ca4)</t>
  </si>
  <si>
    <t>A3</t>
  </si>
  <si>
    <t>Instal·lació fotovoltaica 100 kWp &lt; Ps ≤ 500 kWp</t>
  </si>
  <si>
    <t>Instal·lació fotovoltaica 10 kWp &lt; Ps ≤ 100 kWp</t>
  </si>
  <si>
    <t>Instal·lació fotovoltaica Ps ≤ 10 kWp</t>
  </si>
  <si>
    <t>A2</t>
  </si>
  <si>
    <t>A1</t>
  </si>
  <si>
    <t xml:space="preserve">Cost subvencionable unitari de la instal·lació sol·licitada </t>
  </si>
  <si>
    <r>
      <t>Cost subvencionable de la instal·lació (</t>
    </r>
    <r>
      <rPr>
        <b/>
        <sz val="11"/>
        <color theme="1"/>
        <rFont val="Calibri"/>
        <family val="2"/>
      </rPr>
      <t>€)</t>
    </r>
  </si>
  <si>
    <t>Cost subvencionable unitari de la instal·lació A1 (€/kW)</t>
  </si>
  <si>
    <r>
      <t>Diferència entre inversió sol·licitada i cost subvencionable màxim (</t>
    </r>
    <r>
      <rPr>
        <sz val="11"/>
        <color theme="1"/>
        <rFont val="Calibri"/>
        <family val="2"/>
      </rPr>
      <t>€)</t>
    </r>
  </si>
  <si>
    <r>
      <t>Quantia de l'ajut (</t>
    </r>
    <r>
      <rPr>
        <b/>
        <sz val="11"/>
        <color theme="1"/>
        <rFont val="Calibri"/>
        <family val="2"/>
      </rPr>
      <t>€)</t>
    </r>
  </si>
  <si>
    <t xml:space="preserve">Cost subvencionable màxim total </t>
  </si>
  <si>
    <t>TAULA 1</t>
  </si>
  <si>
    <t>TAULES FACTOR INSULARITAT</t>
  </si>
  <si>
    <t>TAULA 2</t>
  </si>
  <si>
    <t>Tipus d'empresa</t>
  </si>
  <si>
    <t>Quantia de l'ajut base (%)</t>
  </si>
  <si>
    <t>Ps</t>
  </si>
  <si>
    <t>No es podrà concedir un ajut superior al que el beneficiari hagi declarat en la sol·licitud.</t>
  </si>
  <si>
    <t>En el conjunt de tots els programes d’ajut s’estableix un límit de 300.000 euros d’ajut per beneficiari.</t>
  </si>
  <si>
    <t>Notes:</t>
  </si>
  <si>
    <t>En tot cas, l’ajut final que ha de percebre el sol·licitant no pot superar el cost subvencionable total de l’actuació efectivament realitzada, convenientment justificat.</t>
  </si>
  <si>
    <t>El valor de l'ajut final de la justificació queda limitat per l'import de la subvenció concedida.</t>
  </si>
  <si>
    <t>Introducció</t>
  </si>
  <si>
    <t>Les cel·les marcades en color taronja s'han d'introduir per l'usuari.</t>
  </si>
  <si>
    <t>L’IVA és subvencionable en el cas del tipus de beneficiari sense activitat sempre que no pugui ser susceptible de recuperació o compensació total o parcial.</t>
  </si>
  <si>
    <t xml:space="preserve">La Direcció General d’Economia Circular, Transició Energètica i Canvi Climàtic ha desenvolupat aquesta eina de simulació per al cálcul de l'ajut per a la convocatòria pública de subvencions 2026-2027 per al foment d’inversions en energies renovables, emmagatzematge elèctric i infraestructura de recàrrega dins el marc de Factor d’Insularitat de les Illes Balears (Factor de insularitat 2026-2027). Aquesta eina és pública i de lliure ús; la utilització d'aquesta eina és responsabilitat exclusiva de l'usuari, aquesta Dirección General no assumeix cap responsabilitat sobre la utilització que se'n faci. </t>
  </si>
  <si>
    <t>El termini per presentar les sol·licituds s’inicia a partir del cinquè dia hàbil de la publicació d’aquesta Resolució en el Butlletí Oficial de les Illes Balears i finalitza el 28 de febrer de 2027.</t>
  </si>
  <si>
    <t>Tots els programes d’actuació per emplaçament s’han de presentar en la mateixa sol·licitud.</t>
  </si>
  <si>
    <t>En el cas dels beneficiaris indicats en l’apartat 2.1 d’aquesta convocatòria englobats en la lletra a) només poden presentar una sol·licitud per cada programa d’actuació.</t>
  </si>
  <si>
    <t>Només poden ser objecte d’ajut els equips que siguin nous, excepte les bateries procedents de la reutilització de bateries de vehicle elèctric (segona vida de bateries).</t>
  </si>
  <si>
    <t>Només és subvencionable una instal·lació per subministrament elèctric (CUPS) o per emplaçament en instal·lacions elèctriques aïllades o en instal·lacions tèrmiques.</t>
  </si>
  <si>
    <t xml:space="preserve">En tot cas, per a l’exercici 2027, la resolució d’atorgament no ha d’establir una data per a la realització de la inversió superior al 15 de setembre de 2027. </t>
  </si>
  <si>
    <t>Instruccions:</t>
  </si>
  <si>
    <t>Amb caràcter general es consideren despeses elegibles els que s’especifiquen al punt setè de la convocatòria.</t>
  </si>
  <si>
    <t>COST DE L’ACTUACIÓ FOTOVOLTAICA DEL PROGRAMA 1</t>
  </si>
  <si>
    <t xml:space="preserve">Són subvencionables en aquesta convocatòria els programes d’actuació següents que es detallen a continuació i que compleixin els requisits establerts en aquesta convocatòria:
— Programa d’actuació 1: implantació d’instal·lacions d’autoconsum amb fonts d’energia renovable. 
— Programa d’actuació 2: implantació de noves instal·lacions tèrmiques amb fonts renovables de la tecnologia aerotèrmica (exceptuant les tecnologies aire-aire), per a la climatització i/o aigua calenta sanitària.
— Programa actuació 3: instal·lacions d’emmagatzematge elèctric d’autoconsum. 
— Programa d’actuació 4: implantació de nova infraestructura de recàrrega per a vehicle elèctric d’accés privat. </t>
  </si>
  <si>
    <t>Factor de Insularitat 2026-2027</t>
  </si>
  <si>
    <t>Instruccions per a l'ús de l'eina de simulació per al càlcul de l'ajut per a la convocatòria pública de subvencions Factor de Insularitat 2026-2027</t>
  </si>
  <si>
    <t>Programa 2: Generació tèrmica renovable</t>
  </si>
  <si>
    <t xml:space="preserve">Cost unitari elegible subvencionable màxim €/kWt </t>
  </si>
  <si>
    <t xml:space="preserve">PT és la potència en calefacció extreta de la fitxa tècnica o especificacions del fabricant </t>
  </si>
  <si>
    <t>PT</t>
  </si>
  <si>
    <t>Generadors SPF&gt;2,5</t>
  </si>
  <si>
    <t>Distribució interior i equipaments</t>
  </si>
  <si>
    <t>Cb1</t>
  </si>
  <si>
    <t>Cb2</t>
  </si>
  <si>
    <t>Instal·lacions d’aerotèrmia</t>
  </si>
  <si>
    <t>TAULA 3</t>
  </si>
  <si>
    <t>TAULA 4</t>
  </si>
  <si>
    <t>Actuació generació tèrmica</t>
  </si>
  <si>
    <t>Cost unitari de la instal·lació tèrmica de referència €/kWt</t>
  </si>
  <si>
    <t>Cost unitari  subvencionable màxim tèrmic €/kWt (Cb1)</t>
  </si>
  <si>
    <t>C3</t>
  </si>
  <si>
    <t>C2</t>
  </si>
  <si>
    <t>C1</t>
  </si>
  <si>
    <t>NO</t>
  </si>
  <si>
    <t>Cost unitari màxim subvencionable nous sistemes de distribució i elements terminals €/kWt (Cb2)</t>
  </si>
  <si>
    <t>Emissors (elements terminals)</t>
  </si>
  <si>
    <t>Beneficiaris indicats a l'apartat 1 del punt segon, lletres a) i b) (Persones físiques)</t>
  </si>
  <si>
    <t>Instal·lacions d’aerotèrmia amb nous sistemes de distribució i elements terminals</t>
  </si>
  <si>
    <t>Cuf</t>
  </si>
  <si>
    <t>Ceum</t>
  </si>
  <si>
    <t>Cost subvencionable unitari de la instal·lació C1 (€/kW)</t>
  </si>
  <si>
    <t xml:space="preserve">Cost elegible subvencionable de la instal·lació sol·licitada </t>
  </si>
  <si>
    <t>Cost de la instal·lació tèrmica de referència</t>
  </si>
  <si>
    <t xml:space="preserve">Cost subvencionable de la instal·lació sol·licitada </t>
  </si>
  <si>
    <t>Si l’IVA NO és subvencionable</t>
  </si>
  <si>
    <t>Si l’IVA és subvencionable</t>
  </si>
  <si>
    <r>
      <t>Diferència entre inversió sol·licitada i cost elegible subvencionable màxim (</t>
    </r>
    <r>
      <rPr>
        <sz val="11"/>
        <color theme="1"/>
        <rFont val="Calibri"/>
        <family val="2"/>
      </rPr>
      <t>€)</t>
    </r>
  </si>
  <si>
    <t>COST DE L’ACTUACIÓ DE LA GENERACIÓ TÈRMICA RENOVABLE DEL PROGRAMA 2</t>
  </si>
  <si>
    <t>Programa 3: Emmagatzematge per autocomsum</t>
  </si>
  <si>
    <t>TAULA 5</t>
  </si>
  <si>
    <t>TAULA 6</t>
  </si>
  <si>
    <t>B3</t>
  </si>
  <si>
    <t>Actuació d'autoconsum</t>
  </si>
  <si>
    <t>100 kWh &lt; Capacitat ≤ 200 kWh</t>
  </si>
  <si>
    <t>10 kWh &lt; Capacitat ≤ 100 kWh</t>
  </si>
  <si>
    <t>Capacitat ≤ 10 kWh</t>
  </si>
  <si>
    <t>Cap</t>
  </si>
  <si>
    <r>
      <t xml:space="preserve">Capacitat nominal de la instal·lació d'emmagatzematge (kWh) </t>
    </r>
    <r>
      <rPr>
        <sz val="11"/>
        <color theme="1"/>
        <rFont val="Calibri"/>
        <family val="2"/>
      </rPr>
      <t>≤ 200 kWp</t>
    </r>
  </si>
  <si>
    <t>COST DE L’ACTUACIÓ D'EMMAGATZEMATGE DEL PROGRAMA 3</t>
  </si>
  <si>
    <t>Acumuladors ió-liti</t>
  </si>
  <si>
    <t>Notes:
En aquest programa s’estableixen els límits per installació següents:
a) 25.000 euros per als beneficiaris indicats a l’apartat 1 del punt segon, lletres a) i b).
b) 100.000 euros per a la resta de beneficiaris indicats en la lletra a) anterior.</t>
  </si>
  <si>
    <t>La instal·lació s'ha de poder explotar sense que sigui necessària la instal·lació d'un transformador.</t>
  </si>
  <si>
    <t>B1</t>
  </si>
  <si>
    <t>B2</t>
  </si>
  <si>
    <t>BS</t>
  </si>
  <si>
    <t>CS</t>
  </si>
  <si>
    <t>AS</t>
  </si>
  <si>
    <t>La potència total instal·lada de la instal·lació, incloses les ampliacions (kW) ≤ 500 kW</t>
  </si>
  <si>
    <t>Pi</t>
  </si>
  <si>
    <t>Cost subvencionable unitari de la instal·lació B1 (€/kW)</t>
  </si>
  <si>
    <r>
      <t>Cost subvencionable de la instal·lació BS (</t>
    </r>
    <r>
      <rPr>
        <b/>
        <sz val="11"/>
        <color theme="1"/>
        <rFont val="Calibri"/>
        <family val="2"/>
      </rPr>
      <t>€)</t>
    </r>
  </si>
  <si>
    <r>
      <t>Cost subvencionable de la instal·lació CS (</t>
    </r>
    <r>
      <rPr>
        <b/>
        <sz val="11"/>
        <color theme="1"/>
        <rFont val="Calibri"/>
        <family val="2"/>
      </rPr>
      <t>€)</t>
    </r>
  </si>
  <si>
    <t>Programa 4: Infraestructura de recàrrega</t>
  </si>
  <si>
    <t>Beneficiaris indicats a l'apartat 1 del punt segon, lletres a) (Persones físiques sense activitat econòmica)</t>
  </si>
  <si>
    <t>Equips punts de recàrrega</t>
  </si>
  <si>
    <r>
      <t xml:space="preserve">Potència total instal·lada de la nova infraestructura de recàrrega d'accés privat </t>
    </r>
    <r>
      <rPr>
        <sz val="11"/>
        <color theme="1"/>
        <rFont val="Calibri"/>
        <family val="2"/>
      </rPr>
      <t>≤ 15 kW</t>
    </r>
  </si>
  <si>
    <t>Cost subvencionable unitari de la instal·lació (€/kW)</t>
  </si>
  <si>
    <t>TAULA 7</t>
  </si>
  <si>
    <t>COST DE LA INFRAESTRUCTURA DE RECÀRREGA DEL PROGRAMA 4</t>
  </si>
  <si>
    <t>Minimis i no ajuts d'estat</t>
  </si>
  <si>
    <t>Cost subvencionable màxim total</t>
  </si>
  <si>
    <t>Ca1 acumulatiu Sol·licitud sense IVA</t>
  </si>
  <si>
    <t>Ca1 acumulatiu Sol·licitud amb IVA</t>
  </si>
  <si>
    <t>Cost subvencionable màxim total (€)</t>
  </si>
  <si>
    <t>Cost unitari sense IVA (€/kW)</t>
  </si>
  <si>
    <t>Cost unitari amb IVA (€/kW)</t>
  </si>
  <si>
    <t>Ca1 acumulatiu Justificació sense IVA</t>
  </si>
  <si>
    <t>Ca1 acumulatiu Justificació amb IVA</t>
  </si>
  <si>
    <t>Rev_260721</t>
  </si>
  <si>
    <t>Cost subvencionable de la instal·lació AS (€)</t>
  </si>
</sst>
</file>

<file path=xl/styles.xml><?xml version="1.0" encoding="utf-8"?>
<styleSheet xmlns="http://schemas.openxmlformats.org/spreadsheetml/2006/main">
  <numFmts count="2">
    <numFmt numFmtId="164" formatCode="#,##0.00\ _€"/>
    <numFmt numFmtId="165" formatCode="0.00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0"/>
      <color rgb="FF000000"/>
      <name val="Noto Sans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30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9" fontId="0" fillId="0" borderId="0" xfId="0" applyNumberForma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0" fontId="4" fillId="0" borderId="0" xfId="0" applyFont="1" applyAlignment="1">
      <alignment vertical="top"/>
    </xf>
    <xf numFmtId="10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0" fontId="1" fillId="0" borderId="0" xfId="0" applyFont="1" applyBorder="1" applyAlignment="1">
      <alignment horizontal="center" vertical="top"/>
    </xf>
    <xf numFmtId="164" fontId="0" fillId="0" borderId="0" xfId="0" applyNumberFormat="1" applyBorder="1" applyAlignment="1">
      <alignment horizontal="right" vertical="top"/>
    </xf>
    <xf numFmtId="164" fontId="1" fillId="0" borderId="0" xfId="0" applyNumberFormat="1" applyFont="1" applyBorder="1" applyAlignment="1">
      <alignment vertical="top"/>
    </xf>
    <xf numFmtId="0" fontId="0" fillId="0" borderId="0" xfId="0" applyBorder="1" applyAlignment="1">
      <alignment vertical="top" wrapText="1"/>
    </xf>
    <xf numFmtId="9" fontId="1" fillId="0" borderId="0" xfId="0" applyNumberFormat="1" applyFont="1" applyAlignment="1">
      <alignment horizontal="center" vertical="top"/>
    </xf>
    <xf numFmtId="0" fontId="1" fillId="0" borderId="0" xfId="0" applyFont="1"/>
    <xf numFmtId="164" fontId="0" fillId="2" borderId="1" xfId="0" applyNumberFormat="1" applyFill="1" applyBorder="1" applyAlignment="1" applyProtection="1">
      <alignment vertical="top"/>
      <protection locked="0"/>
    </xf>
    <xf numFmtId="0" fontId="1" fillId="2" borderId="0" xfId="0" applyFont="1" applyFill="1" applyBorder="1" applyAlignment="1" applyProtection="1">
      <alignment vertical="top"/>
      <protection locked="0"/>
    </xf>
    <xf numFmtId="9" fontId="1" fillId="0" borderId="1" xfId="0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3" fontId="0" fillId="0" borderId="1" xfId="0" applyNumberFormat="1" applyBorder="1" applyAlignment="1">
      <alignment vertical="top"/>
    </xf>
    <xf numFmtId="9" fontId="0" fillId="0" borderId="1" xfId="0" applyNumberFormat="1" applyBorder="1" applyAlignment="1">
      <alignment vertical="top"/>
    </xf>
    <xf numFmtId="0" fontId="9" fillId="0" borderId="0" xfId="1" applyFont="1" applyAlignment="1">
      <alignment horizontal="left" vertical="center" wrapText="1"/>
    </xf>
    <xf numFmtId="0" fontId="12" fillId="0" borderId="0" xfId="1" applyFont="1"/>
    <xf numFmtId="0" fontId="0" fillId="0" borderId="5" xfId="0" applyFont="1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1" fillId="0" borderId="6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164" fontId="0" fillId="0" borderId="6" xfId="0" applyNumberFormat="1" applyBorder="1" applyAlignment="1">
      <alignment horizontal="right" vertical="top"/>
    </xf>
    <xf numFmtId="0" fontId="0" fillId="2" borderId="5" xfId="0" applyFill="1" applyBorder="1" applyAlignment="1" applyProtection="1">
      <alignment horizontal="center" vertical="top"/>
      <protection locked="0"/>
    </xf>
    <xf numFmtId="164" fontId="1" fillId="0" borderId="6" xfId="0" applyNumberFormat="1" applyFont="1" applyBorder="1" applyAlignment="1">
      <alignment horizontal="right" vertical="top"/>
    </xf>
    <xf numFmtId="0" fontId="0" fillId="0" borderId="5" xfId="0" applyBorder="1" applyAlignment="1">
      <alignment vertical="top" wrapText="1"/>
    </xf>
    <xf numFmtId="164" fontId="0" fillId="2" borderId="10" xfId="0" applyNumberFormat="1" applyFill="1" applyBorder="1" applyAlignment="1" applyProtection="1">
      <alignment vertical="top"/>
      <protection locked="0"/>
    </xf>
    <xf numFmtId="0" fontId="1" fillId="0" borderId="11" xfId="0" applyFont="1" applyBorder="1" applyAlignment="1">
      <alignment horizontal="center" vertical="top"/>
    </xf>
    <xf numFmtId="9" fontId="1" fillId="0" borderId="12" xfId="0" applyNumberFormat="1" applyFont="1" applyBorder="1" applyAlignment="1">
      <alignment horizontal="center" vertical="top"/>
    </xf>
    <xf numFmtId="164" fontId="0" fillId="0" borderId="5" xfId="0" applyNumberFormat="1" applyBorder="1" applyAlignment="1">
      <alignment horizontal="right" vertical="top"/>
    </xf>
    <xf numFmtId="164" fontId="0" fillId="0" borderId="11" xfId="0" applyNumberFormat="1" applyBorder="1" applyAlignment="1">
      <alignment vertical="top"/>
    </xf>
    <xf numFmtId="164" fontId="0" fillId="0" borderId="5" xfId="0" applyNumberFormat="1" applyBorder="1" applyAlignment="1">
      <alignment vertical="top"/>
    </xf>
    <xf numFmtId="164" fontId="1" fillId="0" borderId="16" xfId="0" applyNumberFormat="1" applyFont="1" applyBorder="1" applyAlignment="1">
      <alignment horizontal="center" vertical="top"/>
    </xf>
    <xf numFmtId="164" fontId="1" fillId="0" borderId="17" xfId="0" applyNumberFormat="1" applyFont="1" applyBorder="1" applyAlignment="1">
      <alignment vertical="top"/>
    </xf>
    <xf numFmtId="164" fontId="0" fillId="0" borderId="17" xfId="0" applyNumberFormat="1" applyBorder="1" applyAlignment="1">
      <alignment vertical="top"/>
    </xf>
    <xf numFmtId="164" fontId="1" fillId="0" borderId="18" xfId="0" applyNumberFormat="1" applyFont="1" applyBorder="1" applyAlignment="1">
      <alignment horizontal="center" vertical="top"/>
    </xf>
    <xf numFmtId="164" fontId="1" fillId="0" borderId="19" xfId="0" applyNumberFormat="1" applyFont="1" applyBorder="1" applyAlignment="1">
      <alignment vertical="top"/>
    </xf>
    <xf numFmtId="164" fontId="0" fillId="0" borderId="19" xfId="0" applyNumberFormat="1" applyBorder="1" applyAlignment="1">
      <alignment vertical="top"/>
    </xf>
    <xf numFmtId="164" fontId="1" fillId="0" borderId="20" xfId="0" applyNumberFormat="1" applyFont="1" applyBorder="1" applyAlignment="1">
      <alignment vertical="top"/>
    </xf>
    <xf numFmtId="164" fontId="1" fillId="0" borderId="21" xfId="0" applyNumberFormat="1" applyFont="1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3" xfId="0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24" xfId="0" applyBorder="1" applyAlignment="1">
      <alignment vertical="top"/>
    </xf>
    <xf numFmtId="0" fontId="5" fillId="0" borderId="24" xfId="0" applyFont="1" applyBorder="1" applyAlignment="1">
      <alignment vertical="top" wrapText="1"/>
    </xf>
    <xf numFmtId="0" fontId="0" fillId="2" borderId="24" xfId="0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1" fillId="0" borderId="23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0" fillId="0" borderId="0" xfId="0" applyAlignment="1">
      <alignment horizontal="left" vertical="center" wrapText="1"/>
    </xf>
    <xf numFmtId="0" fontId="0" fillId="0" borderId="5" xfId="0" applyFill="1" applyBorder="1" applyAlignment="1" applyProtection="1">
      <alignment horizontal="center" vertical="top"/>
      <protection locked="0"/>
    </xf>
    <xf numFmtId="0" fontId="0" fillId="2" borderId="9" xfId="0" applyFill="1" applyBorder="1" applyAlignment="1" applyProtection="1">
      <alignment horizontal="center" vertical="top"/>
      <protection locked="0"/>
    </xf>
    <xf numFmtId="164" fontId="0" fillId="0" borderId="0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4" xfId="0" applyBorder="1" applyAlignment="1">
      <alignment horizontal="left" vertical="top"/>
    </xf>
    <xf numFmtId="0" fontId="0" fillId="2" borderId="6" xfId="0" applyFill="1" applyBorder="1" applyAlignment="1">
      <alignment vertical="top"/>
    </xf>
    <xf numFmtId="165" fontId="1" fillId="2" borderId="0" xfId="0" applyNumberFormat="1" applyFont="1" applyFill="1" applyBorder="1" applyAlignment="1" applyProtection="1">
      <alignment horizontal="center" vertical="top"/>
      <protection locked="0"/>
    </xf>
    <xf numFmtId="164" fontId="0" fillId="0" borderId="16" xfId="0" applyNumberFormat="1" applyBorder="1" applyAlignment="1">
      <alignment vertical="top"/>
    </xf>
    <xf numFmtId="2" fontId="0" fillId="2" borderId="26" xfId="0" applyNumberFormat="1" applyFill="1" applyBorder="1" applyAlignment="1" applyProtection="1">
      <alignment vertical="top"/>
      <protection locked="0"/>
    </xf>
    <xf numFmtId="2" fontId="0" fillId="2" borderId="26" xfId="0" applyNumberFormat="1" applyFill="1" applyBorder="1" applyAlignment="1" applyProtection="1">
      <alignment vertical="top" wrapText="1"/>
      <protection locked="0"/>
    </xf>
    <xf numFmtId="0" fontId="0" fillId="0" borderId="23" xfId="0" applyFont="1" applyBorder="1" applyAlignment="1">
      <alignment horizontal="right" vertical="top"/>
    </xf>
    <xf numFmtId="164" fontId="0" fillId="0" borderId="17" xfId="0" applyNumberFormat="1" applyFont="1" applyBorder="1" applyAlignment="1">
      <alignment vertical="top"/>
    </xf>
    <xf numFmtId="164" fontId="0" fillId="0" borderId="18" xfId="0" applyNumberFormat="1" applyBorder="1" applyAlignment="1">
      <alignment vertical="top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164" fontId="0" fillId="0" borderId="19" xfId="0" applyNumberFormat="1" applyFont="1" applyBorder="1" applyAlignment="1">
      <alignment vertical="top"/>
    </xf>
    <xf numFmtId="164" fontId="1" fillId="0" borderId="5" xfId="0" applyNumberFormat="1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3" fillId="0" borderId="0" xfId="0" applyFont="1" applyAlignment="1">
      <alignment vertical="top"/>
    </xf>
    <xf numFmtId="0" fontId="0" fillId="0" borderId="0" xfId="0" applyBorder="1" applyAlignment="1">
      <alignment vertical="top"/>
    </xf>
    <xf numFmtId="3" fontId="0" fillId="0" borderId="0" xfId="0" applyNumberFormat="1" applyBorder="1" applyAlignment="1">
      <alignment vertical="top"/>
    </xf>
    <xf numFmtId="164" fontId="1" fillId="0" borderId="0" xfId="0" applyNumberFormat="1" applyFont="1" applyBorder="1" applyAlignment="1">
      <alignment horizontal="right" vertical="top"/>
    </xf>
    <xf numFmtId="9" fontId="1" fillId="0" borderId="5" xfId="0" applyNumberFormat="1" applyFont="1" applyBorder="1" applyAlignment="1">
      <alignment horizontal="center" vertical="top"/>
    </xf>
    <xf numFmtId="0" fontId="0" fillId="0" borderId="0" xfId="0" applyFill="1" applyBorder="1" applyAlignment="1" applyProtection="1">
      <alignment horizontal="center" vertical="top"/>
      <protection locked="0"/>
    </xf>
    <xf numFmtId="9" fontId="1" fillId="0" borderId="0" xfId="0" applyNumberFormat="1" applyFont="1" applyBorder="1" applyAlignment="1">
      <alignment horizontal="center" vertical="top"/>
    </xf>
    <xf numFmtId="4" fontId="0" fillId="0" borderId="1" xfId="0" applyNumberFormat="1" applyBorder="1" applyAlignment="1">
      <alignment vertical="top"/>
    </xf>
    <xf numFmtId="0" fontId="14" fillId="0" borderId="6" xfId="0" applyFont="1" applyBorder="1" applyAlignment="1">
      <alignment horizontal="center" vertical="top"/>
    </xf>
    <xf numFmtId="0" fontId="15" fillId="0" borderId="23" xfId="0" applyFont="1" applyBorder="1" applyAlignment="1">
      <alignment vertical="top" wrapText="1"/>
    </xf>
    <xf numFmtId="0" fontId="16" fillId="0" borderId="23" xfId="0" applyFont="1" applyBorder="1" applyAlignment="1">
      <alignment vertical="top" wrapText="1"/>
    </xf>
    <xf numFmtId="9" fontId="0" fillId="0" borderId="30" xfId="0" applyNumberFormat="1" applyBorder="1" applyAlignment="1">
      <alignment horizontal="center" vertical="top"/>
    </xf>
    <xf numFmtId="0" fontId="1" fillId="2" borderId="31" xfId="0" applyFont="1" applyFill="1" applyBorder="1" applyAlignment="1" applyProtection="1">
      <alignment vertical="top"/>
      <protection locked="0"/>
    </xf>
    <xf numFmtId="0" fontId="0" fillId="0" borderId="32" xfId="0" applyBorder="1" applyAlignment="1">
      <alignment vertical="top"/>
    </xf>
    <xf numFmtId="164" fontId="1" fillId="0" borderId="6" xfId="0" applyNumberFormat="1" applyFont="1" applyBorder="1" applyAlignment="1">
      <alignment vertical="top"/>
    </xf>
    <xf numFmtId="164" fontId="0" fillId="0" borderId="12" xfId="0" applyNumberFormat="1" applyBorder="1" applyAlignment="1">
      <alignment horizontal="right" vertical="top"/>
    </xf>
    <xf numFmtId="164" fontId="0" fillId="0" borderId="33" xfId="0" applyNumberFormat="1" applyBorder="1" applyAlignment="1">
      <alignment horizontal="right" vertical="top"/>
    </xf>
    <xf numFmtId="0" fontId="0" fillId="0" borderId="34" xfId="0" applyBorder="1" applyAlignment="1">
      <alignment vertical="top"/>
    </xf>
    <xf numFmtId="0" fontId="1" fillId="0" borderId="5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0" fontId="0" fillId="0" borderId="23" xfId="0" applyFont="1" applyBorder="1" applyAlignment="1">
      <alignment vertical="top"/>
    </xf>
    <xf numFmtId="0" fontId="1" fillId="0" borderId="35" xfId="0" applyFont="1" applyBorder="1" applyAlignment="1">
      <alignment vertical="top" wrapText="1"/>
    </xf>
    <xf numFmtId="0" fontId="1" fillId="0" borderId="36" xfId="0" applyFont="1" applyBorder="1" applyAlignment="1">
      <alignment horizontal="right" vertical="top"/>
    </xf>
    <xf numFmtId="0" fontId="1" fillId="0" borderId="37" xfId="0" applyFont="1" applyBorder="1" applyAlignment="1">
      <alignment horizontal="right" vertical="top"/>
    </xf>
    <xf numFmtId="0" fontId="0" fillId="2" borderId="32" xfId="0" applyFill="1" applyBorder="1" applyAlignment="1">
      <alignment vertical="top"/>
    </xf>
    <xf numFmtId="0" fontId="4" fillId="0" borderId="0" xfId="1" applyFont="1" applyAlignment="1">
      <alignment horizontal="left" vertical="center" wrapText="1"/>
    </xf>
    <xf numFmtId="0" fontId="11" fillId="0" borderId="0" xfId="1" applyFont="1" applyAlignment="1"/>
    <xf numFmtId="0" fontId="10" fillId="0" borderId="0" xfId="1" applyFont="1" applyAlignment="1">
      <alignment horizontal="left" vertical="center" wrapText="1"/>
    </xf>
    <xf numFmtId="0" fontId="8" fillId="0" borderId="0" xfId="1" applyFont="1" applyAlignment="1"/>
    <xf numFmtId="0" fontId="0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2" fillId="0" borderId="27" xfId="0" applyNumberFormat="1" applyFont="1" applyBorder="1" applyAlignment="1">
      <alignment horizontal="center" vertical="top"/>
    </xf>
    <xf numFmtId="164" fontId="12" fillId="0" borderId="28" xfId="0" applyNumberFormat="1" applyFont="1" applyBorder="1" applyAlignment="1">
      <alignment horizontal="center" vertical="top"/>
    </xf>
    <xf numFmtId="164" fontId="12" fillId="0" borderId="29" xfId="0" applyNumberFormat="1" applyFont="1" applyBorder="1" applyAlignment="1">
      <alignment horizontal="center" vertical="top"/>
    </xf>
    <xf numFmtId="164" fontId="12" fillId="0" borderId="13" xfId="0" applyNumberFormat="1" applyFont="1" applyFill="1" applyBorder="1" applyAlignment="1">
      <alignment horizontal="center" vertical="top"/>
    </xf>
    <xf numFmtId="164" fontId="12" fillId="0" borderId="14" xfId="0" applyNumberFormat="1" applyFont="1" applyFill="1" applyBorder="1" applyAlignment="1">
      <alignment horizontal="center" vertical="top"/>
    </xf>
    <xf numFmtId="164" fontId="12" fillId="0" borderId="15" xfId="0" applyNumberFormat="1" applyFont="1" applyFill="1" applyBorder="1" applyAlignment="1">
      <alignment horizontal="center" vertical="top"/>
    </xf>
    <xf numFmtId="164" fontId="12" fillId="0" borderId="13" xfId="0" applyNumberFormat="1" applyFont="1" applyBorder="1" applyAlignment="1">
      <alignment horizontal="center" vertical="top"/>
    </xf>
    <xf numFmtId="164" fontId="12" fillId="0" borderId="14" xfId="0" applyNumberFormat="1" applyFont="1" applyBorder="1" applyAlignment="1">
      <alignment horizontal="center" vertical="top"/>
    </xf>
    <xf numFmtId="164" fontId="12" fillId="0" borderId="15" xfId="0" applyNumberFormat="1" applyFont="1" applyBorder="1" applyAlignment="1">
      <alignment horizontal="center" vertical="top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219075</xdr:colOff>
      <xdr:row>0</xdr:row>
      <xdr:rowOff>352425</xdr:rowOff>
    </xdr:from>
    <xdr:to>
      <xdr:col>11</xdr:col>
      <xdr:colOff>266700</xdr:colOff>
      <xdr:row>2</xdr:row>
      <xdr:rowOff>133350</xdr:rowOff>
    </xdr:to>
    <xdr:pic>
      <xdr:nvPicPr>
        <xdr:cNvPr id="2" name="1 Imagen" descr="C:\Users\u100825\Downloads\C_EMP_AUT_ENE_COL(3)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10275" y="352425"/>
          <a:ext cx="2057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257175</xdr:colOff>
      <xdr:row>0</xdr:row>
      <xdr:rowOff>57150</xdr:rowOff>
    </xdr:from>
    <xdr:to>
      <xdr:col>14</xdr:col>
      <xdr:colOff>0</xdr:colOff>
      <xdr:row>3</xdr:row>
      <xdr:rowOff>209550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57150"/>
          <a:ext cx="1562100" cy="1419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762000</xdr:colOff>
      <xdr:row>0</xdr:row>
      <xdr:rowOff>219075</xdr:rowOff>
    </xdr:from>
    <xdr:to>
      <xdr:col>4</xdr:col>
      <xdr:colOff>257175</xdr:colOff>
      <xdr:row>3</xdr:row>
      <xdr:rowOff>112395</xdr:rowOff>
    </xdr:to>
    <xdr:pic>
      <xdr:nvPicPr>
        <xdr:cNvPr id="2" name="1 Imagen" descr="C:\Users\u100825\Downloads\C_EMP_AUT_ENE_COL(3)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72650" y="219075"/>
          <a:ext cx="2057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</xdr:colOff>
      <xdr:row>0</xdr:row>
      <xdr:rowOff>0</xdr:rowOff>
    </xdr:from>
    <xdr:to>
      <xdr:col>5</xdr:col>
      <xdr:colOff>1571625</xdr:colOff>
      <xdr:row>4</xdr:row>
      <xdr:rowOff>142875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0"/>
          <a:ext cx="1562100" cy="1419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762000</xdr:colOff>
      <xdr:row>0</xdr:row>
      <xdr:rowOff>219075</xdr:rowOff>
    </xdr:from>
    <xdr:to>
      <xdr:col>4</xdr:col>
      <xdr:colOff>257175</xdr:colOff>
      <xdr:row>3</xdr:row>
      <xdr:rowOff>121104</xdr:rowOff>
    </xdr:to>
    <xdr:pic>
      <xdr:nvPicPr>
        <xdr:cNvPr id="2" name="1 Imagen" descr="C:\Users\u100825\Downloads\C_EMP_AUT_ENE_COL(3)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72650" y="219075"/>
          <a:ext cx="2057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</xdr:colOff>
      <xdr:row>0</xdr:row>
      <xdr:rowOff>0</xdr:rowOff>
    </xdr:from>
    <xdr:to>
      <xdr:col>5</xdr:col>
      <xdr:colOff>1571625</xdr:colOff>
      <xdr:row>4</xdr:row>
      <xdr:rowOff>151584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0"/>
          <a:ext cx="1562100" cy="1419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762000</xdr:colOff>
      <xdr:row>0</xdr:row>
      <xdr:rowOff>219075</xdr:rowOff>
    </xdr:from>
    <xdr:to>
      <xdr:col>4</xdr:col>
      <xdr:colOff>257175</xdr:colOff>
      <xdr:row>3</xdr:row>
      <xdr:rowOff>112395</xdr:rowOff>
    </xdr:to>
    <xdr:pic>
      <xdr:nvPicPr>
        <xdr:cNvPr id="2" name="1 Imagen" descr="C:\Users\u100825\Downloads\C_EMP_AUT_ENE_COL(3)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27920" y="219075"/>
          <a:ext cx="2131695" cy="845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</xdr:colOff>
      <xdr:row>0</xdr:row>
      <xdr:rowOff>0</xdr:rowOff>
    </xdr:from>
    <xdr:to>
      <xdr:col>5</xdr:col>
      <xdr:colOff>1571625</xdr:colOff>
      <xdr:row>4</xdr:row>
      <xdr:rowOff>142875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665" y="0"/>
          <a:ext cx="1562100" cy="1392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762000</xdr:colOff>
      <xdr:row>0</xdr:row>
      <xdr:rowOff>219075</xdr:rowOff>
    </xdr:from>
    <xdr:to>
      <xdr:col>4</xdr:col>
      <xdr:colOff>257175</xdr:colOff>
      <xdr:row>3</xdr:row>
      <xdr:rowOff>112395</xdr:rowOff>
    </xdr:to>
    <xdr:pic>
      <xdr:nvPicPr>
        <xdr:cNvPr id="2" name="1 Imagen" descr="C:\Users\u100825\Downloads\C_EMP_AUT_ENE_COL(3)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66860" y="219075"/>
          <a:ext cx="2131695" cy="845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</xdr:colOff>
      <xdr:row>0</xdr:row>
      <xdr:rowOff>0</xdr:rowOff>
    </xdr:from>
    <xdr:to>
      <xdr:col>5</xdr:col>
      <xdr:colOff>1571625</xdr:colOff>
      <xdr:row>4</xdr:row>
      <xdr:rowOff>142875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5405" y="0"/>
          <a:ext cx="1562100" cy="1392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9"/>
  <dimension ref="A1:O23"/>
  <sheetViews>
    <sheetView tabSelected="1" workbookViewId="0">
      <selection activeCell="O4" sqref="O4"/>
    </sheetView>
  </sheetViews>
  <sheetFormatPr baseColWidth="10" defaultRowHeight="15"/>
  <cols>
    <col min="1" max="1" width="3.7109375" customWidth="1"/>
    <col min="2" max="2" width="4.7109375" customWidth="1"/>
    <col min="3" max="3" width="15.7109375" customWidth="1"/>
    <col min="4" max="4" width="19.42578125" customWidth="1"/>
    <col min="5" max="6" width="10.5703125" customWidth="1"/>
    <col min="7" max="7" width="10.7109375" customWidth="1"/>
    <col min="8" max="8" width="11.42578125" customWidth="1"/>
    <col min="9" max="10" width="10.5703125" customWidth="1"/>
    <col min="11" max="11" width="9" customWidth="1"/>
    <col min="12" max="12" width="8.85546875" customWidth="1"/>
    <col min="13" max="13" width="10" customWidth="1"/>
    <col min="14" max="14" width="8.42578125" customWidth="1"/>
  </cols>
  <sheetData>
    <row r="1" spans="1:15" ht="54.75" customHeight="1">
      <c r="A1" s="114" t="s">
        <v>79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7" t="s">
        <v>152</v>
      </c>
    </row>
    <row r="2" spans="1:15" ht="30" customHeight="1">
      <c r="A2" s="28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5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5" ht="70.5" customHeight="1">
      <c r="A4" s="118" t="s">
        <v>67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5" ht="125.25" customHeight="1">
      <c r="A5" s="120" t="s">
        <v>77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5" ht="18.75">
      <c r="A7" s="28" t="s">
        <v>61</v>
      </c>
    </row>
    <row r="8" spans="1:15">
      <c r="A8" t="s">
        <v>68</v>
      </c>
    </row>
    <row r="9" spans="1:15">
      <c r="A9" t="s">
        <v>69</v>
      </c>
    </row>
    <row r="10" spans="1:15">
      <c r="A10" t="s">
        <v>70</v>
      </c>
    </row>
    <row r="11" spans="1:15">
      <c r="A11" t="s">
        <v>71</v>
      </c>
    </row>
    <row r="12" spans="1:15">
      <c r="A12" t="s">
        <v>72</v>
      </c>
    </row>
    <row r="13" spans="1:15">
      <c r="A13" t="s">
        <v>73</v>
      </c>
    </row>
    <row r="14" spans="1:15">
      <c r="A14" t="s">
        <v>125</v>
      </c>
    </row>
    <row r="16" spans="1:15" ht="18.75">
      <c r="A16" s="28" t="s">
        <v>74</v>
      </c>
    </row>
    <row r="17" spans="1:1">
      <c r="A17" s="2" t="s">
        <v>65</v>
      </c>
    </row>
    <row r="18" spans="1:1">
      <c r="A18" s="2" t="s">
        <v>75</v>
      </c>
    </row>
    <row r="19" spans="1:1">
      <c r="A19" s="2" t="s">
        <v>59</v>
      </c>
    </row>
    <row r="20" spans="1:1">
      <c r="A20" s="2" t="s">
        <v>60</v>
      </c>
    </row>
    <row r="21" spans="1:1">
      <c r="A21" s="2" t="s">
        <v>62</v>
      </c>
    </row>
    <row r="22" spans="1:1">
      <c r="A22" s="2" t="s">
        <v>63</v>
      </c>
    </row>
    <row r="23" spans="1:1">
      <c r="A23" s="2" t="s">
        <v>66</v>
      </c>
    </row>
  </sheetData>
  <sheetProtection password="DE14" sheet="1" objects="1" scenarios="1" selectLockedCells="1"/>
  <mergeCells count="4">
    <mergeCell ref="A1:N1"/>
    <mergeCell ref="A3:N3"/>
    <mergeCell ref="A4:N4"/>
    <mergeCell ref="A5:N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"/>
  <dimension ref="A1:J64"/>
  <sheetViews>
    <sheetView zoomScaleNormal="100" workbookViewId="0">
      <selection activeCell="C10" sqref="C10"/>
    </sheetView>
  </sheetViews>
  <sheetFormatPr baseColWidth="10" defaultColWidth="11.42578125" defaultRowHeight="15"/>
  <cols>
    <col min="1" max="1" width="77" style="2" bestFit="1" customWidth="1"/>
    <col min="2" max="2" width="9.42578125" style="2" bestFit="1" customWidth="1"/>
    <col min="3" max="3" width="42.7109375" style="2" customWidth="1"/>
    <col min="4" max="4" width="38.42578125" style="2" customWidth="1"/>
    <col min="5" max="5" width="9.42578125" style="2" bestFit="1" customWidth="1"/>
    <col min="6" max="6" width="43.7109375" style="2" bestFit="1" customWidth="1"/>
    <col min="7" max="7" width="35.7109375" style="2" bestFit="1" customWidth="1"/>
    <col min="8" max="8" width="41.7109375" style="2" customWidth="1"/>
    <col min="9" max="11" width="11.42578125" style="2"/>
    <col min="12" max="12" width="42" style="2" customWidth="1"/>
    <col min="13" max="13" width="18.140625" style="2" customWidth="1"/>
    <col min="14" max="14" width="11.42578125" style="2"/>
    <col min="15" max="15" width="39" style="2" bestFit="1" customWidth="1"/>
    <col min="16" max="16" width="3" style="2" bestFit="1" customWidth="1"/>
    <col min="17" max="16384" width="11.42578125" style="2"/>
  </cols>
  <sheetData>
    <row r="1" spans="1:7" ht="26.25">
      <c r="A1" s="9" t="s">
        <v>3</v>
      </c>
      <c r="B1" s="9"/>
      <c r="C1" s="9" t="s">
        <v>78</v>
      </c>
      <c r="E1" s="9"/>
      <c r="F1" s="9"/>
    </row>
    <row r="2" spans="1:7" ht="26.25">
      <c r="B2" s="9"/>
      <c r="E2" s="9"/>
      <c r="F2" s="9"/>
    </row>
    <row r="3" spans="1:7" ht="23.25">
      <c r="A3" s="88" t="s">
        <v>4</v>
      </c>
    </row>
    <row r="4" spans="1:7" ht="23.25">
      <c r="A4" s="88"/>
    </row>
    <row r="5" spans="1:7">
      <c r="A5" s="21" t="s">
        <v>56</v>
      </c>
      <c r="B5" s="22"/>
      <c r="C5" s="87" t="s">
        <v>143</v>
      </c>
    </row>
    <row r="6" spans="1:7">
      <c r="A6" s="21" t="s">
        <v>57</v>
      </c>
      <c r="B6" s="22"/>
      <c r="C6" s="20">
        <f>VLOOKUP(C5,'Programa 1'!$A$61:$B64,2,FALSE)</f>
        <v>0.7</v>
      </c>
      <c r="E6" s="3"/>
      <c r="F6" s="3"/>
    </row>
    <row r="7" spans="1:7">
      <c r="A7" s="21" t="s">
        <v>100</v>
      </c>
      <c r="B7" s="70" t="s">
        <v>97</v>
      </c>
      <c r="C7" s="20" t="str">
        <f>IF(B7="SI","No pot ser beneficiari per aquest Programa 1","")</f>
        <v/>
      </c>
      <c r="E7" s="3"/>
      <c r="F7" s="3"/>
    </row>
    <row r="8" spans="1:7" ht="15.75" thickBot="1">
      <c r="C8" s="16"/>
      <c r="E8" s="3"/>
      <c r="F8" s="3"/>
    </row>
    <row r="9" spans="1:7" ht="19.5" thickBot="1">
      <c r="A9" s="54"/>
      <c r="B9" s="124" t="s">
        <v>8</v>
      </c>
      <c r="C9" s="125"/>
      <c r="D9" s="126"/>
      <c r="E9" s="127" t="s">
        <v>9</v>
      </c>
      <c r="F9" s="128"/>
      <c r="G9" s="129"/>
    </row>
    <row r="10" spans="1:7">
      <c r="A10" s="55" t="s">
        <v>30</v>
      </c>
      <c r="B10" s="29"/>
      <c r="C10" s="19" t="s">
        <v>44</v>
      </c>
      <c r="D10" s="30"/>
      <c r="E10" s="99"/>
      <c r="F10" s="100" t="s">
        <v>44</v>
      </c>
      <c r="G10" s="101"/>
    </row>
    <row r="11" spans="1:7">
      <c r="A11" s="55" t="s">
        <v>131</v>
      </c>
      <c r="B11" s="31" t="s">
        <v>132</v>
      </c>
      <c r="C11" s="75">
        <v>10</v>
      </c>
      <c r="D11" s="30"/>
      <c r="E11" s="92" t="s">
        <v>132</v>
      </c>
      <c r="F11" s="75">
        <v>10</v>
      </c>
      <c r="G11" s="30"/>
    </row>
    <row r="12" spans="1:7">
      <c r="A12" s="55" t="s">
        <v>29</v>
      </c>
      <c r="B12" s="31" t="s">
        <v>58</v>
      </c>
      <c r="C12" s="75">
        <v>10</v>
      </c>
      <c r="D12" s="96" t="str">
        <f>IF(OR(AND($C$10=A57,C12&lt;=10),AND($C$10=A56,C12&gt;10,C12&lt;=100),AND($C$10=A55,C12&gt;100)),"","Potència incorrecta")</f>
        <v/>
      </c>
      <c r="E12" s="31" t="s">
        <v>58</v>
      </c>
      <c r="F12" s="75">
        <v>10</v>
      </c>
      <c r="G12" s="96" t="str">
        <f>IF(OR(AND($F$10=A57,F12&lt;=10),AND($F$10=A56,F12&gt;10,F12&lt;=100),AND($F$10=A55,F12&gt;100)),"","Potència incorrecta")</f>
        <v/>
      </c>
    </row>
    <row r="13" spans="1:7">
      <c r="A13" s="55"/>
      <c r="B13" s="33"/>
      <c r="C13" s="12" t="s">
        <v>148</v>
      </c>
      <c r="D13" s="12" t="s">
        <v>149</v>
      </c>
      <c r="E13" s="35"/>
      <c r="F13" s="12" t="s">
        <v>148</v>
      </c>
      <c r="G13" s="34" t="s">
        <v>149</v>
      </c>
    </row>
    <row r="14" spans="1:7">
      <c r="A14" s="55" t="s">
        <v>35</v>
      </c>
      <c r="B14" s="35"/>
      <c r="C14" s="13">
        <f>IF(D12="Potència incorrecta",0,VLOOKUP(C10,$A$55:$J$57,3,FALSE))</f>
        <v>0</v>
      </c>
      <c r="D14" s="13">
        <f>IF(D12="Potència incorrecta",0,VLOOKUP(C10,$A$55:$J$57,4,FALSE))</f>
        <v>0</v>
      </c>
      <c r="E14" s="43"/>
      <c r="F14" s="13">
        <f>IF(G12="Potència incorrecta",0,VLOOKUP(F10,$A$55:$J$57,6,FALSE))</f>
        <v>0</v>
      </c>
      <c r="G14" s="36">
        <f>IF(G12="Potència incorrecta",0,VLOOKUP(F10,$A$55:$J$57,7,FALSE))</f>
        <v>0</v>
      </c>
    </row>
    <row r="15" spans="1:7">
      <c r="A15" s="55" t="s">
        <v>38</v>
      </c>
      <c r="B15" s="37" t="s">
        <v>97</v>
      </c>
      <c r="C15" s="13">
        <f>IF($B$15="SI",IF(D12="Potència incorrecta",0,VLOOKUP(C10,$A$55:$J$57,8,FALSE)),0)</f>
        <v>0</v>
      </c>
      <c r="D15" s="13">
        <f>IF($B$15="SI",IF(D12="Potència incorrecta",0,VLOOKUP(C10,$A$55:$J$57,8,FALSE)),0)</f>
        <v>0</v>
      </c>
      <c r="E15" s="43"/>
      <c r="F15" s="13">
        <f>IF($B$15="SI",IF(G12="Potència incorrecta",0,VLOOKUP(F10,$A$55:$J$57,8,FALSE)),0)</f>
        <v>0</v>
      </c>
      <c r="G15" s="36">
        <f>IF($B$15="SI",IF(G12="Potència incorrecta",0,VLOOKUP(F10,$A$55:$J$57,8,FALSE)),0)</f>
        <v>0</v>
      </c>
    </row>
    <row r="16" spans="1:7">
      <c r="A16" s="56" t="s">
        <v>39</v>
      </c>
      <c r="B16" s="37" t="s">
        <v>97</v>
      </c>
      <c r="C16" s="13">
        <f>IF($B$16="SI",IF(D12="Potència incorrecta",0,VLOOKUP(C10,$A$55:$J$57,9,FALSE)),0)</f>
        <v>0</v>
      </c>
      <c r="D16" s="13">
        <f>IF($B$16="SI",IF(D12="Potència incorrecta",0,VLOOKUP(C10,$A$55:$J$57,9,FALSE)),0)</f>
        <v>0</v>
      </c>
      <c r="E16" s="43"/>
      <c r="F16" s="13">
        <f>IF($B$16="SI",IF(G12="Potència incorrecta",0,VLOOKUP(F10,$A$55:$J$57,9,FALSE)),0)</f>
        <v>0</v>
      </c>
      <c r="G16" s="36">
        <f>IF($B$16="SI",IF(G12="Potència incorrecta",0,VLOOKUP(F10,$A$55:$J$57,9,FALSE)),0)</f>
        <v>0</v>
      </c>
    </row>
    <row r="17" spans="1:7">
      <c r="A17" s="55" t="s">
        <v>40</v>
      </c>
      <c r="B17" s="37" t="s">
        <v>97</v>
      </c>
      <c r="C17" s="13">
        <f>IF($B$17="SI",IF(D12="Potència incorrecta",0,VLOOKUP(C10,$A$55:$J$57,10,FALSE)),0)</f>
        <v>0</v>
      </c>
      <c r="D17" s="13">
        <f>IF($B$17="SI",IF(D12="Potència incorrecta",0,VLOOKUP(C10,$A$55:$J$57,10,FALSE)),0)</f>
        <v>0</v>
      </c>
      <c r="E17" s="43"/>
      <c r="F17" s="13">
        <f>IF($B$17="SI",IF(G12="Potència incorrecta",0,VLOOKUP(F10,$A$55:$J$57,10,FALSE)),0)</f>
        <v>0</v>
      </c>
      <c r="G17" s="36">
        <f>IF($B$17="SI",IF(G12="Potència incorrecta",0,VLOOKUP(F10,$A$55:$J$57,10,FALSE)),0)</f>
        <v>0</v>
      </c>
    </row>
    <row r="18" spans="1:7" ht="45" customHeight="1">
      <c r="A18" s="97" t="str">
        <f>IF(OR(B15="SI",B16="SI"), "El percentatge de potència instal·lada sobre marquesina, o sobre la superfície de la qual s'ha eliminat amiant, ha de ser, almenys, el 50 % de la potència de la instal·lació de generació realment instal·lada (Ps).","")</f>
        <v/>
      </c>
      <c r="B18" s="106" t="s">
        <v>41</v>
      </c>
      <c r="C18" s="107">
        <f>SUM(C14:C17)</f>
        <v>0</v>
      </c>
      <c r="D18" s="107">
        <f>SUM(D14:D17)</f>
        <v>0</v>
      </c>
      <c r="E18" s="106" t="s">
        <v>41</v>
      </c>
      <c r="F18" s="107">
        <f>SUM(F14:F17)</f>
        <v>0</v>
      </c>
      <c r="G18" s="108">
        <f>SUM(G14:G17)</f>
        <v>0</v>
      </c>
    </row>
    <row r="19" spans="1:7">
      <c r="A19" s="98" t="s">
        <v>147</v>
      </c>
      <c r="B19" s="39"/>
      <c r="C19" s="14">
        <f>IF(C12&gt;500,C18*500,C18*C12)</f>
        <v>0</v>
      </c>
      <c r="D19" s="14">
        <f>IF(C12&gt;500,D18*500,D18*C12)</f>
        <v>0</v>
      </c>
      <c r="E19" s="43"/>
      <c r="F19" s="14">
        <f>IF(F12&gt;500,F18*500,F18*F12)</f>
        <v>0</v>
      </c>
      <c r="G19" s="102">
        <f>IF(F12&gt;500,G18*500,G18*F12)</f>
        <v>0</v>
      </c>
    </row>
    <row r="20" spans="1:7" ht="15.75" thickBot="1">
      <c r="A20" s="55"/>
      <c r="B20" s="33"/>
      <c r="C20" s="13"/>
      <c r="D20" s="36"/>
      <c r="E20" s="103"/>
      <c r="F20" s="104"/>
      <c r="G20" s="105"/>
    </row>
    <row r="21" spans="1:7" ht="19.5" thickBot="1">
      <c r="A21" s="58" t="s">
        <v>76</v>
      </c>
      <c r="B21" s="121" t="s">
        <v>8</v>
      </c>
      <c r="C21" s="122"/>
      <c r="D21" s="123"/>
      <c r="E21" s="121" t="s">
        <v>9</v>
      </c>
      <c r="F21" s="122"/>
      <c r="G21" s="123"/>
    </row>
    <row r="22" spans="1:7">
      <c r="A22" s="59" t="s">
        <v>5</v>
      </c>
      <c r="B22" s="82" t="s">
        <v>6</v>
      </c>
      <c r="C22" s="83" t="s">
        <v>7</v>
      </c>
      <c r="D22" s="84" t="s">
        <v>10</v>
      </c>
      <c r="E22" s="110" t="s">
        <v>6</v>
      </c>
      <c r="F22" s="111" t="s">
        <v>7</v>
      </c>
      <c r="G22" s="112" t="s">
        <v>10</v>
      </c>
    </row>
    <row r="23" spans="1:7">
      <c r="A23" s="60" t="s">
        <v>25</v>
      </c>
      <c r="B23" s="78"/>
      <c r="C23" s="18"/>
      <c r="D23" s="40"/>
      <c r="E23" s="77"/>
      <c r="F23" s="18"/>
      <c r="G23" s="40"/>
    </row>
    <row r="24" spans="1:7">
      <c r="A24" s="61" t="s">
        <v>13</v>
      </c>
      <c r="B24" s="77"/>
      <c r="C24" s="18"/>
      <c r="D24" s="40"/>
      <c r="E24" s="77"/>
      <c r="F24" s="18"/>
      <c r="G24" s="40"/>
    </row>
    <row r="25" spans="1:7">
      <c r="A25" s="61" t="s">
        <v>14</v>
      </c>
      <c r="B25" s="77"/>
      <c r="C25" s="18"/>
      <c r="D25" s="40"/>
      <c r="E25" s="77"/>
      <c r="F25" s="18"/>
      <c r="G25" s="40"/>
    </row>
    <row r="26" spans="1:7">
      <c r="A26" s="61" t="s">
        <v>15</v>
      </c>
      <c r="B26" s="77"/>
      <c r="C26" s="18"/>
      <c r="D26" s="40"/>
      <c r="E26" s="77"/>
      <c r="F26" s="18"/>
      <c r="G26" s="40"/>
    </row>
    <row r="27" spans="1:7">
      <c r="A27" s="61" t="s">
        <v>16</v>
      </c>
      <c r="B27" s="77"/>
      <c r="C27" s="18"/>
      <c r="D27" s="40"/>
      <c r="E27" s="77"/>
      <c r="F27" s="18"/>
      <c r="G27" s="40"/>
    </row>
    <row r="28" spans="1:7">
      <c r="A28" s="61" t="s">
        <v>26</v>
      </c>
      <c r="B28" s="77"/>
      <c r="C28" s="18"/>
      <c r="D28" s="40"/>
      <c r="E28" s="77"/>
      <c r="F28" s="18"/>
      <c r="G28" s="40"/>
    </row>
    <row r="29" spans="1:7">
      <c r="A29" s="61" t="s">
        <v>27</v>
      </c>
      <c r="B29" s="77"/>
      <c r="C29" s="18"/>
      <c r="D29" s="40"/>
      <c r="E29" s="77"/>
      <c r="F29" s="18"/>
      <c r="G29" s="40"/>
    </row>
    <row r="30" spans="1:7">
      <c r="A30" s="61" t="s">
        <v>28</v>
      </c>
      <c r="B30" s="77"/>
      <c r="C30" s="18"/>
      <c r="D30" s="40"/>
      <c r="E30" s="77"/>
      <c r="F30" s="18"/>
      <c r="G30" s="40"/>
    </row>
    <row r="31" spans="1:7">
      <c r="A31" s="61" t="s">
        <v>17</v>
      </c>
      <c r="B31" s="77"/>
      <c r="C31" s="18"/>
      <c r="D31" s="40"/>
      <c r="E31" s="77"/>
      <c r="F31" s="18"/>
      <c r="G31" s="40"/>
    </row>
    <row r="32" spans="1:7">
      <c r="A32" s="60" t="s">
        <v>18</v>
      </c>
      <c r="B32" s="77"/>
      <c r="C32" s="18"/>
      <c r="D32" s="40"/>
      <c r="E32" s="77"/>
      <c r="F32" s="18"/>
      <c r="G32" s="40"/>
    </row>
    <row r="33" spans="1:9">
      <c r="A33" s="60" t="s">
        <v>19</v>
      </c>
      <c r="B33" s="77"/>
      <c r="C33" s="18"/>
      <c r="D33" s="40"/>
      <c r="E33" s="77"/>
      <c r="F33" s="18"/>
      <c r="G33" s="40"/>
    </row>
    <row r="34" spans="1:9">
      <c r="A34" s="60" t="s">
        <v>20</v>
      </c>
      <c r="B34" s="77"/>
      <c r="C34" s="18"/>
      <c r="D34" s="40"/>
      <c r="E34" s="77"/>
      <c r="F34" s="18"/>
      <c r="G34" s="40"/>
    </row>
    <row r="35" spans="1:9">
      <c r="A35" s="60" t="s">
        <v>21</v>
      </c>
      <c r="B35" s="77"/>
      <c r="C35" s="18"/>
      <c r="D35" s="40"/>
      <c r="E35" s="77"/>
      <c r="F35" s="18"/>
      <c r="G35" s="40"/>
    </row>
    <row r="36" spans="1:9">
      <c r="A36" s="60" t="s">
        <v>22</v>
      </c>
      <c r="B36" s="77"/>
      <c r="C36" s="18"/>
      <c r="D36" s="40"/>
      <c r="E36" s="77"/>
      <c r="F36" s="18"/>
      <c r="G36" s="40"/>
    </row>
    <row r="37" spans="1:9">
      <c r="A37" s="60" t="s">
        <v>23</v>
      </c>
      <c r="B37" s="77"/>
      <c r="C37" s="18"/>
      <c r="D37" s="40"/>
      <c r="E37" s="77"/>
      <c r="F37" s="18"/>
      <c r="G37" s="40"/>
    </row>
    <row r="38" spans="1:9">
      <c r="A38" s="60" t="s">
        <v>24</v>
      </c>
      <c r="B38" s="77"/>
      <c r="C38" s="18"/>
      <c r="D38" s="40"/>
      <c r="E38" s="77"/>
      <c r="F38" s="18"/>
      <c r="G38" s="40"/>
    </row>
    <row r="39" spans="1:9">
      <c r="A39" s="63"/>
      <c r="B39" s="77"/>
      <c r="C39" s="18"/>
      <c r="D39" s="40"/>
      <c r="E39" s="77"/>
      <c r="F39" s="18"/>
      <c r="G39" s="40"/>
    </row>
    <row r="40" spans="1:9">
      <c r="A40" s="63"/>
      <c r="B40" s="77"/>
      <c r="C40" s="18"/>
      <c r="D40" s="40"/>
      <c r="E40" s="77"/>
      <c r="F40" s="18"/>
      <c r="G40" s="40"/>
    </row>
    <row r="41" spans="1:9">
      <c r="A41" s="65" t="s">
        <v>107</v>
      </c>
      <c r="B41" s="41"/>
      <c r="C41" s="76">
        <f>SUM(C23:C40)</f>
        <v>0</v>
      </c>
      <c r="D41" s="81">
        <f>SUM(D23:D40)</f>
        <v>0</v>
      </c>
      <c r="E41" s="44"/>
      <c r="F41" s="76">
        <f>SUM(F23:F40)</f>
        <v>0</v>
      </c>
      <c r="G41" s="81">
        <f>SUM(G23:G40)</f>
        <v>0</v>
      </c>
    </row>
    <row r="42" spans="1:9">
      <c r="A42" s="64" t="s">
        <v>47</v>
      </c>
      <c r="B42" s="31" t="s">
        <v>45</v>
      </c>
      <c r="C42" s="48">
        <f>C41/C12</f>
        <v>0</v>
      </c>
      <c r="D42" s="51">
        <f>D41/C12</f>
        <v>0</v>
      </c>
      <c r="E42" s="31" t="s">
        <v>45</v>
      </c>
      <c r="F42" s="48">
        <f>F41/F12</f>
        <v>0</v>
      </c>
      <c r="G42" s="51">
        <f>G41/F12</f>
        <v>0</v>
      </c>
    </row>
    <row r="43" spans="1:9">
      <c r="A43" s="65"/>
      <c r="B43" s="31"/>
      <c r="C43" s="46" t="s">
        <v>108</v>
      </c>
      <c r="D43" s="49" t="s">
        <v>109</v>
      </c>
      <c r="E43" s="31"/>
      <c r="F43" s="46" t="s">
        <v>108</v>
      </c>
      <c r="G43" s="49" t="s">
        <v>109</v>
      </c>
    </row>
    <row r="44" spans="1:9">
      <c r="A44" s="109" t="s">
        <v>49</v>
      </c>
      <c r="B44" s="31" t="s">
        <v>46</v>
      </c>
      <c r="C44" s="80">
        <f>IF(B7="SI",0,IF(C42&gt;C18,C18,C42))</f>
        <v>0</v>
      </c>
      <c r="D44" s="80">
        <f>IF(B7="SI",0,IF(D42&gt;D18,D18,D42))</f>
        <v>0</v>
      </c>
      <c r="E44" s="86" t="s">
        <v>46</v>
      </c>
      <c r="F44" s="80">
        <f>IF(B7="SI",0,IF(F42&gt;F18,F18,F42))</f>
        <v>0</v>
      </c>
      <c r="G44" s="85">
        <f>IF(B7="SI",0,IF(G42&gt;G18,G18,G42))</f>
        <v>0</v>
      </c>
      <c r="H44" s="5"/>
      <c r="I44" s="5"/>
    </row>
    <row r="45" spans="1:9">
      <c r="A45" s="66" t="s">
        <v>153</v>
      </c>
      <c r="B45" s="31" t="s">
        <v>130</v>
      </c>
      <c r="C45" s="47">
        <f>IF(C12&gt;500,C44*500,C44*C12)</f>
        <v>0</v>
      </c>
      <c r="D45" s="47">
        <f>IF(C12&gt;500,D44*500,D44*C12)</f>
        <v>0</v>
      </c>
      <c r="E45" s="86" t="s">
        <v>130</v>
      </c>
      <c r="F45" s="47">
        <f>IF(F12&gt;500,F44*500,F44*F12)</f>
        <v>0</v>
      </c>
      <c r="G45" s="50">
        <f>IF(G12&gt;500,G44*500,G44*G12)</f>
        <v>0</v>
      </c>
      <c r="I45" s="10"/>
    </row>
    <row r="46" spans="1:9">
      <c r="A46" s="55" t="s">
        <v>50</v>
      </c>
      <c r="B46" s="33"/>
      <c r="C46" s="48">
        <f>IF(C41-C19&lt;0,"No supera cost subvencionable màxim",C41-C19)</f>
        <v>0</v>
      </c>
      <c r="D46" s="51">
        <f>IF(D41-D19&lt;0,"No supera cost subvencionable màxim",D41-D19)</f>
        <v>0</v>
      </c>
      <c r="E46" s="45"/>
      <c r="F46" s="48">
        <f>IF(F41-F19&lt;0,"No supera cost subvencionable màxim",F41-F19)</f>
        <v>0</v>
      </c>
      <c r="G46" s="51">
        <f>IF(G41-G19&lt;0,"No supera cost subvencionable màxim",G41-G19)</f>
        <v>0</v>
      </c>
    </row>
    <row r="47" spans="1:9" ht="15.75" thickBot="1">
      <c r="A47" s="67" t="s">
        <v>51</v>
      </c>
      <c r="B47" s="42">
        <f>C6</f>
        <v>0.7</v>
      </c>
      <c r="C47" s="52">
        <f>IF(C45*C6&gt;300000,300000,C45*C6)</f>
        <v>0</v>
      </c>
      <c r="D47" s="52">
        <f>IF(D45*C6&gt;300000,300000,D45*C6)</f>
        <v>0</v>
      </c>
      <c r="E47" s="42">
        <f>C6</f>
        <v>0.7</v>
      </c>
      <c r="F47" s="52">
        <f>IF(F45*C6&gt;300000,300000,F45*C6)</f>
        <v>0</v>
      </c>
      <c r="G47" s="53">
        <f>IF(G45*C6&gt;300000,300000,G45*C6)</f>
        <v>0</v>
      </c>
    </row>
    <row r="48" spans="1:9">
      <c r="G48" s="7"/>
    </row>
    <row r="49" spans="1:10">
      <c r="A49" s="6"/>
      <c r="G49" s="7"/>
    </row>
    <row r="50" spans="1:10">
      <c r="F50" s="7"/>
      <c r="G50" s="7"/>
    </row>
    <row r="51" spans="1:10">
      <c r="A51" s="17" t="s">
        <v>54</v>
      </c>
      <c r="B51"/>
      <c r="C51"/>
      <c r="D51"/>
      <c r="E51"/>
      <c r="F51" s="7"/>
      <c r="G51" s="7"/>
    </row>
    <row r="52" spans="1:10">
      <c r="A52"/>
      <c r="B52"/>
      <c r="C52"/>
      <c r="D52"/>
      <c r="E52"/>
    </row>
    <row r="53" spans="1:10">
      <c r="A53" s="1" t="s">
        <v>53</v>
      </c>
      <c r="B53"/>
      <c r="C53"/>
      <c r="D53"/>
      <c r="E53"/>
      <c r="I53" s="8"/>
    </row>
    <row r="54" spans="1:10">
      <c r="A54" s="23" t="s">
        <v>30</v>
      </c>
      <c r="B54" s="23" t="s">
        <v>31</v>
      </c>
      <c r="C54" s="23" t="s">
        <v>145</v>
      </c>
      <c r="D54" s="23" t="s">
        <v>146</v>
      </c>
      <c r="F54" s="23" t="s">
        <v>150</v>
      </c>
      <c r="G54" s="23" t="s">
        <v>151</v>
      </c>
      <c r="H54" s="23" t="s">
        <v>32</v>
      </c>
      <c r="I54" s="23" t="s">
        <v>33</v>
      </c>
      <c r="J54" s="23" t="s">
        <v>34</v>
      </c>
    </row>
    <row r="55" spans="1:10">
      <c r="A55" s="24" t="s">
        <v>42</v>
      </c>
      <c r="B55" s="11">
        <v>749</v>
      </c>
      <c r="C55" s="95">
        <f>(C57*10+MIN(C42,B56)*90+MIN(C42,B55)*(C12-100))/C12</f>
        <v>0</v>
      </c>
      <c r="D55" s="95">
        <f>(D57*10+MIN(D42,B56)*90+MIN(D42,B55)*(C12-100))/C12</f>
        <v>0</v>
      </c>
      <c r="F55" s="95">
        <f>(F57*10+MIN(F42,B56)*90+MIN(F42,B55)*(F12-100))/F12</f>
        <v>0</v>
      </c>
      <c r="G55" s="95">
        <f>(G57*10+MIN(G42,B56)*90+MIN(G42,B55)*(F12-100))/F12</f>
        <v>0</v>
      </c>
      <c r="H55" s="11">
        <v>500</v>
      </c>
      <c r="I55" s="25">
        <v>720</v>
      </c>
      <c r="J55" s="25">
        <v>200</v>
      </c>
    </row>
    <row r="56" spans="1:10">
      <c r="A56" s="24" t="s">
        <v>43</v>
      </c>
      <c r="B56" s="11">
        <v>910</v>
      </c>
      <c r="C56" s="95">
        <f>(C57*10+MIN(C42,B56)*(C12-10))/C12</f>
        <v>0</v>
      </c>
      <c r="D56" s="95">
        <f>(D57*10+MIN(D42,B56)*(C12-10))/C12</f>
        <v>0</v>
      </c>
      <c r="F56" s="95">
        <f>(F57*10+MIN(F42,B56)*(F12-10))/F12</f>
        <v>0</v>
      </c>
      <c r="G56" s="95">
        <f>(G57*10+MIN(G42,B56)*(F12-10))/F12</f>
        <v>0</v>
      </c>
      <c r="H56" s="11">
        <v>500</v>
      </c>
      <c r="I56" s="25">
        <v>817</v>
      </c>
      <c r="J56" s="25">
        <v>300</v>
      </c>
    </row>
    <row r="57" spans="1:10">
      <c r="A57" s="24" t="s">
        <v>44</v>
      </c>
      <c r="B57" s="11">
        <v>1188</v>
      </c>
      <c r="C57" s="95">
        <f>MIN(C42,B57)</f>
        <v>0</v>
      </c>
      <c r="D57" s="95">
        <f>MIN(D42,B57)</f>
        <v>0</v>
      </c>
      <c r="F57" s="95">
        <f>MIN(F42,B57)</f>
        <v>0</v>
      </c>
      <c r="G57" s="95">
        <f>MIN(G42,B57)</f>
        <v>0</v>
      </c>
      <c r="H57" s="11">
        <v>500</v>
      </c>
      <c r="I57" s="25">
        <v>1082</v>
      </c>
      <c r="J57" s="25">
        <v>400</v>
      </c>
    </row>
    <row r="58" spans="1:10">
      <c r="A58" s="6"/>
      <c r="D58" s="8"/>
      <c r="E58" s="8"/>
    </row>
    <row r="59" spans="1:10">
      <c r="A59" s="4" t="s">
        <v>55</v>
      </c>
      <c r="D59" s="8"/>
      <c r="E59" s="8"/>
    </row>
    <row r="60" spans="1:10">
      <c r="A60" s="23" t="s">
        <v>0</v>
      </c>
      <c r="B60" s="23" t="s">
        <v>1</v>
      </c>
      <c r="D60" s="8"/>
      <c r="E60" s="8"/>
    </row>
    <row r="61" spans="1:10">
      <c r="A61" s="11" t="s">
        <v>2</v>
      </c>
      <c r="B61" s="26">
        <v>0.4</v>
      </c>
      <c r="D61" s="8"/>
      <c r="E61" s="8"/>
    </row>
    <row r="62" spans="1:10">
      <c r="A62" s="11" t="s">
        <v>11</v>
      </c>
      <c r="B62" s="26">
        <v>0.5</v>
      </c>
      <c r="C62"/>
      <c r="D62"/>
      <c r="E62"/>
    </row>
    <row r="63" spans="1:10">
      <c r="A63" s="11" t="s">
        <v>12</v>
      </c>
      <c r="B63" s="26">
        <v>0.6</v>
      </c>
      <c r="C63"/>
      <c r="D63"/>
      <c r="E63"/>
    </row>
    <row r="64" spans="1:10">
      <c r="A64" s="11" t="s">
        <v>143</v>
      </c>
      <c r="B64" s="26">
        <v>0.7</v>
      </c>
      <c r="C64"/>
      <c r="D64"/>
      <c r="E64"/>
    </row>
  </sheetData>
  <sheetProtection password="DE94" sheet="1" objects="1" scenarios="1" selectLockedCells="1"/>
  <mergeCells count="4">
    <mergeCell ref="B21:D21"/>
    <mergeCell ref="E21:G21"/>
    <mergeCell ref="B9:D9"/>
    <mergeCell ref="E9:G9"/>
  </mergeCells>
  <dataValidations count="6">
    <dataValidation type="custom" allowBlank="1" showErrorMessage="1" errorTitle="POTENCIA" error="Corregir potencia" sqref="F12">
      <formula1>OR(AND($F$10=A57,F12&lt;=10),AND($F$10=A56,F12&gt;10,F12&lt;=100),AND($F$10=A55,F12&gt;100))</formula1>
    </dataValidation>
    <dataValidation type="custom" allowBlank="1" showErrorMessage="1" errorTitle="POTENCIA" error="Corregir potència Ps" sqref="C12">
      <formula1>OR(AND($C$10=A57,C12&lt;=10),AND($C$10=A56,C12&gt;10,C12&lt;=100),AND($C$10=A55,C12&gt;100))</formula1>
    </dataValidation>
    <dataValidation type="list" allowBlank="1" showInputMessage="1" showErrorMessage="1" sqref="C5">
      <formula1>$A$61:$A$64</formula1>
    </dataValidation>
    <dataValidation type="list" allowBlank="1" showInputMessage="1" showErrorMessage="1" sqref="C10 F10">
      <formula1>$A$55:$A$57</formula1>
    </dataValidation>
    <dataValidation type="list" allowBlank="1" showInputMessage="1" showErrorMessage="1" sqref="B15:B17 B7">
      <formula1>"SI,NO"</formula1>
    </dataValidation>
    <dataValidation type="decimal" operator="lessThanOrEqual" allowBlank="1" showInputMessage="1" showErrorMessage="1" errorTitle="Potència" error="La potència total instal·lada de la instal·lació, incloses les ampliacions, ha de ser menor o igual a 500 kW." sqref="C11 F11">
      <formula1>500</formula1>
    </dataValidation>
  </dataValidations>
  <pageMargins left="0.7" right="0.7" top="0.75" bottom="0.75" header="0.3" footer="0.3"/>
  <pageSetup paperSize="9" scale="67" orientation="portrait" r:id="rId1"/>
  <colBreaks count="1" manualBreakCount="1">
    <brk id="7" max="3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1"/>
  <sheetViews>
    <sheetView topLeftCell="A7" zoomScaleNormal="100" workbookViewId="0">
      <selection activeCell="C27" sqref="C27"/>
    </sheetView>
  </sheetViews>
  <sheetFormatPr baseColWidth="10" defaultColWidth="11.42578125" defaultRowHeight="15"/>
  <cols>
    <col min="1" max="1" width="89.42578125" style="2" bestFit="1" customWidth="1"/>
    <col min="2" max="2" width="9.42578125" style="2" bestFit="1" customWidth="1"/>
    <col min="3" max="3" width="42.7109375" style="2" customWidth="1"/>
    <col min="4" max="4" width="38.42578125" style="2" customWidth="1"/>
    <col min="5" max="5" width="9.42578125" style="2" bestFit="1" customWidth="1"/>
    <col min="6" max="6" width="43.7109375" style="2" bestFit="1" customWidth="1"/>
    <col min="7" max="7" width="35.7109375" style="2" bestFit="1" customWidth="1"/>
    <col min="8" max="8" width="41.7109375" style="2" customWidth="1"/>
    <col min="9" max="11" width="11.42578125" style="2"/>
    <col min="12" max="12" width="42" style="2" customWidth="1"/>
    <col min="13" max="13" width="18.140625" style="2" customWidth="1"/>
    <col min="14" max="14" width="11.42578125" style="2"/>
    <col min="15" max="15" width="39" style="2" bestFit="1" customWidth="1"/>
    <col min="16" max="16" width="3" style="2" bestFit="1" customWidth="1"/>
    <col min="17" max="16384" width="11.42578125" style="2"/>
  </cols>
  <sheetData>
    <row r="1" spans="1:7" ht="26.25">
      <c r="A1" s="9" t="s">
        <v>3</v>
      </c>
      <c r="B1" s="9"/>
      <c r="C1" s="9" t="s">
        <v>78</v>
      </c>
      <c r="E1" s="9"/>
      <c r="F1" s="9"/>
    </row>
    <row r="2" spans="1:7" ht="26.25">
      <c r="B2" s="9"/>
      <c r="E2" s="9"/>
      <c r="F2" s="9"/>
    </row>
    <row r="3" spans="1:7" ht="23.25">
      <c r="A3" s="88" t="s">
        <v>80</v>
      </c>
    </row>
    <row r="4" spans="1:7" ht="23.25">
      <c r="A4" s="88"/>
    </row>
    <row r="5" spans="1:7">
      <c r="A5" s="21" t="s">
        <v>56</v>
      </c>
      <c r="B5" s="22"/>
      <c r="C5" s="87" t="s">
        <v>143</v>
      </c>
    </row>
    <row r="6" spans="1:7">
      <c r="A6" s="21" t="s">
        <v>57</v>
      </c>
      <c r="B6" s="22"/>
      <c r="C6" s="20">
        <f>VLOOKUP(C5,'Programa 2'!$A$58:$B61,2,FALSE)</f>
        <v>0.7</v>
      </c>
      <c r="E6" s="3"/>
      <c r="F6" s="3"/>
    </row>
    <row r="7" spans="1:7">
      <c r="A7" s="21" t="s">
        <v>100</v>
      </c>
      <c r="B7" s="70" t="s">
        <v>97</v>
      </c>
      <c r="C7" s="20" t="str">
        <f>IF(B7="SI",IF(C5=A61,"Ajut limitat a 25.000 €","Tipus d'empresa mal sel·leccionada"),"Ajut limitat a 100.000 €")</f>
        <v>Ajut limitat a 100.000 €</v>
      </c>
      <c r="E7" s="3"/>
      <c r="F7" s="3"/>
    </row>
    <row r="8" spans="1:7" ht="15.75" thickBot="1">
      <c r="C8" s="16"/>
      <c r="E8" s="3"/>
      <c r="F8" s="3"/>
    </row>
    <row r="9" spans="1:7" ht="19.5" thickBot="1">
      <c r="A9" s="54"/>
      <c r="B9" s="124" t="s">
        <v>8</v>
      </c>
      <c r="C9" s="125"/>
      <c r="D9" s="126"/>
      <c r="E9" s="127" t="s">
        <v>9</v>
      </c>
      <c r="F9" s="128"/>
      <c r="G9" s="129"/>
    </row>
    <row r="10" spans="1:7">
      <c r="A10" s="55" t="s">
        <v>91</v>
      </c>
      <c r="B10" s="29"/>
      <c r="C10" s="19" t="s">
        <v>88</v>
      </c>
      <c r="D10" s="74"/>
      <c r="E10" s="99"/>
      <c r="F10" s="100" t="s">
        <v>88</v>
      </c>
      <c r="G10" s="113"/>
    </row>
    <row r="11" spans="1:7">
      <c r="A11" s="55" t="s">
        <v>82</v>
      </c>
      <c r="B11" s="31" t="s">
        <v>83</v>
      </c>
      <c r="C11" s="75">
        <v>10</v>
      </c>
      <c r="D11" s="32"/>
      <c r="E11" s="31" t="s">
        <v>83</v>
      </c>
      <c r="F11" s="75">
        <v>10</v>
      </c>
      <c r="G11" s="32"/>
    </row>
    <row r="12" spans="1:7">
      <c r="A12" s="55"/>
      <c r="B12" s="33"/>
      <c r="C12" s="12" t="s">
        <v>36</v>
      </c>
      <c r="D12" s="34" t="s">
        <v>37</v>
      </c>
      <c r="E12" s="35"/>
      <c r="F12" s="12" t="s">
        <v>36</v>
      </c>
      <c r="G12" s="34" t="s">
        <v>37</v>
      </c>
    </row>
    <row r="13" spans="1:7">
      <c r="A13" s="55" t="s">
        <v>81</v>
      </c>
      <c r="B13" s="35"/>
      <c r="C13" s="13">
        <f>VLOOKUP(C10,$A$53:$E$54,2,FALSE)</f>
        <v>1130</v>
      </c>
      <c r="D13" s="36">
        <f>C13*C11</f>
        <v>11300</v>
      </c>
      <c r="E13" s="43"/>
      <c r="F13" s="13">
        <f>VLOOKUP(F10,$A$53:$E$54,2,FALSE)</f>
        <v>1130</v>
      </c>
      <c r="G13" s="36">
        <f>F13*F11</f>
        <v>11300</v>
      </c>
    </row>
    <row r="14" spans="1:7">
      <c r="A14" s="55" t="s">
        <v>92</v>
      </c>
      <c r="B14" s="69"/>
      <c r="C14" s="13">
        <f>VLOOKUP(C10,$A$53:$E$54,3,FALSE)</f>
        <v>130</v>
      </c>
      <c r="D14" s="36">
        <f>C14*C11</f>
        <v>1300</v>
      </c>
      <c r="E14" s="43"/>
      <c r="F14" s="13">
        <f>VLOOKUP(F10,$A$53:$E$54,3,FALSE)</f>
        <v>130</v>
      </c>
      <c r="G14" s="36">
        <f>F14*F11</f>
        <v>1300</v>
      </c>
    </row>
    <row r="15" spans="1:7">
      <c r="A15" s="56" t="s">
        <v>93</v>
      </c>
      <c r="B15" s="69"/>
      <c r="C15" s="13">
        <f>VLOOKUP(C10,$A$53:$E$54,4,FALSE)</f>
        <v>1000</v>
      </c>
      <c r="D15" s="36">
        <f>C15*C11</f>
        <v>10000</v>
      </c>
      <c r="E15" s="43"/>
      <c r="F15" s="13">
        <f>VLOOKUP(F10,$A$53:$E$54,4,FALSE)</f>
        <v>1000</v>
      </c>
      <c r="G15" s="36">
        <f>F15*F11</f>
        <v>10000</v>
      </c>
    </row>
    <row r="16" spans="1:7">
      <c r="A16" s="55" t="s">
        <v>98</v>
      </c>
      <c r="B16" s="69"/>
      <c r="C16" s="13">
        <f>VLOOKUP(C10,$A$53:$E$54,5,FALSE)</f>
        <v>0</v>
      </c>
      <c r="D16" s="36">
        <f>C16*C11</f>
        <v>0</v>
      </c>
      <c r="E16" s="43"/>
      <c r="F16" s="13">
        <f>VLOOKUP(F10,$A$53:$E$54,5,FALSE)</f>
        <v>0</v>
      </c>
      <c r="G16" s="36">
        <f>F16*F11</f>
        <v>0</v>
      </c>
    </row>
    <row r="17" spans="1:7">
      <c r="A17" s="57" t="s">
        <v>52</v>
      </c>
      <c r="B17" s="31" t="s">
        <v>94</v>
      </c>
      <c r="C17" s="14">
        <f>SUM(C15:C16)</f>
        <v>1000</v>
      </c>
      <c r="D17" s="38">
        <f>C17*C11</f>
        <v>10000</v>
      </c>
      <c r="E17" s="31" t="s">
        <v>94</v>
      </c>
      <c r="F17" s="14">
        <f>SUM(F15:F16)</f>
        <v>1000</v>
      </c>
      <c r="G17" s="38">
        <f>F17*F11</f>
        <v>10000</v>
      </c>
    </row>
    <row r="18" spans="1:7">
      <c r="A18" s="56"/>
      <c r="B18" s="39"/>
      <c r="C18" s="71"/>
      <c r="D18" s="71"/>
      <c r="E18" s="43"/>
      <c r="F18" s="13"/>
      <c r="G18" s="30"/>
    </row>
    <row r="19" spans="1:7" ht="15.75" thickBot="1">
      <c r="A19" s="55"/>
      <c r="B19" s="33"/>
      <c r="C19" s="13"/>
      <c r="D19" s="36"/>
      <c r="E19" s="43"/>
      <c r="F19" s="13"/>
      <c r="G19" s="30"/>
    </row>
    <row r="20" spans="1:7" ht="19.5" thickBot="1">
      <c r="A20" s="58" t="s">
        <v>111</v>
      </c>
      <c r="B20" s="121" t="s">
        <v>8</v>
      </c>
      <c r="C20" s="122"/>
      <c r="D20" s="123"/>
      <c r="E20" s="121" t="s">
        <v>9</v>
      </c>
      <c r="F20" s="122"/>
      <c r="G20" s="123"/>
    </row>
    <row r="21" spans="1:7">
      <c r="A21" s="59" t="s">
        <v>5</v>
      </c>
      <c r="B21" s="82" t="s">
        <v>6</v>
      </c>
      <c r="C21" s="83" t="s">
        <v>7</v>
      </c>
      <c r="D21" s="84" t="s">
        <v>10</v>
      </c>
      <c r="E21" s="82" t="s">
        <v>6</v>
      </c>
      <c r="F21" s="83" t="s">
        <v>7</v>
      </c>
      <c r="G21" s="84" t="s">
        <v>10</v>
      </c>
    </row>
    <row r="22" spans="1:7">
      <c r="A22" s="60" t="s">
        <v>84</v>
      </c>
      <c r="B22" s="78"/>
      <c r="C22" s="18"/>
      <c r="D22" s="40"/>
      <c r="E22" s="77"/>
      <c r="F22" s="18"/>
      <c r="G22" s="40"/>
    </row>
    <row r="23" spans="1:7">
      <c r="A23" s="73" t="s">
        <v>99</v>
      </c>
      <c r="B23" s="77"/>
      <c r="C23" s="18"/>
      <c r="D23" s="40"/>
      <c r="E23" s="77"/>
      <c r="F23" s="18"/>
      <c r="G23" s="40"/>
    </row>
    <row r="24" spans="1:7">
      <c r="A24" s="73" t="s">
        <v>85</v>
      </c>
      <c r="B24" s="77"/>
      <c r="C24" s="18"/>
      <c r="D24" s="40"/>
      <c r="E24" s="77"/>
      <c r="F24" s="18"/>
      <c r="G24" s="40"/>
    </row>
    <row r="25" spans="1:7">
      <c r="A25" s="61" t="s">
        <v>15</v>
      </c>
      <c r="B25" s="77"/>
      <c r="C25" s="18"/>
      <c r="D25" s="40"/>
      <c r="E25" s="77"/>
      <c r="F25" s="18"/>
      <c r="G25" s="40"/>
    </row>
    <row r="26" spans="1:7">
      <c r="A26" s="61" t="s">
        <v>16</v>
      </c>
      <c r="B26" s="77"/>
      <c r="C26" s="18"/>
      <c r="D26" s="40"/>
      <c r="E26" s="77"/>
      <c r="F26" s="18"/>
      <c r="G26" s="40"/>
    </row>
    <row r="27" spans="1:7">
      <c r="A27" s="62" t="s">
        <v>17</v>
      </c>
      <c r="B27" s="77"/>
      <c r="C27" s="18"/>
      <c r="D27" s="40"/>
      <c r="E27" s="77"/>
      <c r="F27" s="18"/>
      <c r="G27" s="40"/>
    </row>
    <row r="28" spans="1:7">
      <c r="A28" s="62" t="s">
        <v>18</v>
      </c>
      <c r="B28" s="77"/>
      <c r="C28" s="18"/>
      <c r="D28" s="40"/>
      <c r="E28" s="77"/>
      <c r="F28" s="18"/>
      <c r="G28" s="40"/>
    </row>
    <row r="29" spans="1:7">
      <c r="A29" s="62" t="s">
        <v>19</v>
      </c>
      <c r="B29" s="77"/>
      <c r="C29" s="18"/>
      <c r="D29" s="40"/>
      <c r="E29" s="77"/>
      <c r="F29" s="18"/>
      <c r="G29" s="40"/>
    </row>
    <row r="30" spans="1:7">
      <c r="A30" s="61" t="s">
        <v>20</v>
      </c>
      <c r="B30" s="77"/>
      <c r="C30" s="18"/>
      <c r="D30" s="40"/>
      <c r="E30" s="77"/>
      <c r="F30" s="18"/>
      <c r="G30" s="40"/>
    </row>
    <row r="31" spans="1:7">
      <c r="A31" s="60" t="s">
        <v>21</v>
      </c>
      <c r="B31" s="77"/>
      <c r="C31" s="18"/>
      <c r="D31" s="40"/>
      <c r="E31" s="77"/>
      <c r="F31" s="18"/>
      <c r="G31" s="40"/>
    </row>
    <row r="32" spans="1:7">
      <c r="A32" s="60" t="s">
        <v>22</v>
      </c>
      <c r="B32" s="77"/>
      <c r="C32" s="18"/>
      <c r="D32" s="40"/>
      <c r="E32" s="77"/>
      <c r="F32" s="18"/>
      <c r="G32" s="40"/>
    </row>
    <row r="33" spans="1:9">
      <c r="A33" s="60" t="s">
        <v>23</v>
      </c>
      <c r="B33" s="77"/>
      <c r="C33" s="18"/>
      <c r="D33" s="40"/>
      <c r="E33" s="77"/>
      <c r="F33" s="18"/>
      <c r="G33" s="40"/>
    </row>
    <row r="34" spans="1:9">
      <c r="A34" s="60" t="s">
        <v>24</v>
      </c>
      <c r="B34" s="77"/>
      <c r="C34" s="18"/>
      <c r="D34" s="40"/>
      <c r="E34" s="77"/>
      <c r="F34" s="18"/>
      <c r="G34" s="40"/>
    </row>
    <row r="35" spans="1:9">
      <c r="A35" s="63"/>
      <c r="B35" s="77"/>
      <c r="C35" s="18"/>
      <c r="D35" s="40"/>
      <c r="E35" s="77"/>
      <c r="F35" s="18"/>
      <c r="G35" s="40"/>
    </row>
    <row r="36" spans="1:9">
      <c r="A36" s="63"/>
      <c r="B36" s="77"/>
      <c r="C36" s="18"/>
      <c r="D36" s="40"/>
      <c r="E36" s="77"/>
      <c r="F36" s="18"/>
      <c r="G36" s="40"/>
    </row>
    <row r="37" spans="1:9">
      <c r="A37" s="65" t="s">
        <v>105</v>
      </c>
      <c r="B37" s="41"/>
      <c r="C37" s="76">
        <f>SUM(C22:C36)</f>
        <v>0</v>
      </c>
      <c r="D37" s="81">
        <f>SUM(D22:D36)</f>
        <v>0</v>
      </c>
      <c r="E37" s="44"/>
      <c r="F37" s="76">
        <f>SUM(F22:F36)</f>
        <v>0</v>
      </c>
      <c r="G37" s="81">
        <f>SUM(G22:G36)</f>
        <v>0</v>
      </c>
    </row>
    <row r="38" spans="1:9">
      <c r="A38" s="65" t="s">
        <v>106</v>
      </c>
      <c r="B38" s="31"/>
      <c r="C38" s="48">
        <f>D14</f>
        <v>1300</v>
      </c>
      <c r="D38" s="51">
        <f>D14</f>
        <v>1300</v>
      </c>
      <c r="E38" s="45"/>
      <c r="F38" s="48">
        <f>G14</f>
        <v>1300</v>
      </c>
      <c r="G38" s="51">
        <f>G14</f>
        <v>1300</v>
      </c>
    </row>
    <row r="39" spans="1:9">
      <c r="A39" s="79" t="s">
        <v>107</v>
      </c>
      <c r="B39" s="31"/>
      <c r="C39" s="80">
        <f>MAX(0,C37-C38)</f>
        <v>0</v>
      </c>
      <c r="D39" s="85">
        <f>MAX(0,D37-D38)</f>
        <v>0</v>
      </c>
      <c r="E39" s="45"/>
      <c r="F39" s="80">
        <f>MAX(0,F37-F38)</f>
        <v>0</v>
      </c>
      <c r="G39" s="51">
        <f>MAX(0,G37-G38)</f>
        <v>0</v>
      </c>
    </row>
    <row r="40" spans="1:9">
      <c r="A40" s="64" t="s">
        <v>47</v>
      </c>
      <c r="B40" s="31" t="s">
        <v>95</v>
      </c>
      <c r="C40" s="48">
        <f>C39/C11</f>
        <v>0</v>
      </c>
      <c r="D40" s="51">
        <f>D39/C11</f>
        <v>0</v>
      </c>
      <c r="E40" s="31" t="s">
        <v>95</v>
      </c>
      <c r="F40" s="48">
        <f>F39/F11</f>
        <v>0</v>
      </c>
      <c r="G40" s="51">
        <f>G39/F11</f>
        <v>0</v>
      </c>
    </row>
    <row r="41" spans="1:9">
      <c r="A41" s="65"/>
      <c r="B41" s="31"/>
      <c r="C41" s="46" t="s">
        <v>108</v>
      </c>
      <c r="D41" s="49" t="s">
        <v>109</v>
      </c>
      <c r="E41" s="31"/>
      <c r="F41" s="46" t="s">
        <v>108</v>
      </c>
      <c r="G41" s="49" t="s">
        <v>109</v>
      </c>
    </row>
    <row r="42" spans="1:9">
      <c r="A42" s="55" t="s">
        <v>104</v>
      </c>
      <c r="B42" s="31" t="s">
        <v>96</v>
      </c>
      <c r="C42" s="48">
        <f>IF(C40&gt;C17,C17,C40)</f>
        <v>0</v>
      </c>
      <c r="D42" s="48">
        <f>IF(D40&gt;C17,C17,D40)</f>
        <v>0</v>
      </c>
      <c r="E42" s="86" t="s">
        <v>96</v>
      </c>
      <c r="F42" s="48">
        <f>IF(F40&gt;F17,F17,F40)</f>
        <v>0</v>
      </c>
      <c r="G42" s="51">
        <f>IF(G40&gt;F17,F17,G40)</f>
        <v>0</v>
      </c>
      <c r="I42" s="10"/>
    </row>
    <row r="43" spans="1:9">
      <c r="A43" s="66" t="s">
        <v>135</v>
      </c>
      <c r="B43" s="31" t="s">
        <v>129</v>
      </c>
      <c r="C43" s="47">
        <f>C42*C11</f>
        <v>0</v>
      </c>
      <c r="D43" s="47">
        <f>D42*C11</f>
        <v>0</v>
      </c>
      <c r="E43" s="86" t="s">
        <v>129</v>
      </c>
      <c r="F43" s="47">
        <f>F42*F11</f>
        <v>0</v>
      </c>
      <c r="G43" s="50">
        <f>G42*F11</f>
        <v>0</v>
      </c>
      <c r="H43" s="5"/>
      <c r="I43" s="5"/>
    </row>
    <row r="44" spans="1:9">
      <c r="A44" s="55" t="s">
        <v>110</v>
      </c>
      <c r="B44" s="33"/>
      <c r="C44" s="48" t="str">
        <f>IF(C37-D13&lt;0,"No supera cost elegible màxim",C37-D13)</f>
        <v>No supera cost elegible màxim</v>
      </c>
      <c r="D44" s="51" t="str">
        <f>IF(D37-D13&lt;0,"No supera cost elegible màxim",D37-D13)</f>
        <v>No supera cost elegible màxim</v>
      </c>
      <c r="E44" s="45"/>
      <c r="F44" s="48" t="str">
        <f>IF(F37-G13&lt;0,"No supera cost elegible màxim",F37-G13)</f>
        <v>No supera cost elegible màxim</v>
      </c>
      <c r="G44" s="51" t="str">
        <f>IF(G37-G13&lt;0,"No supera cost elegible màxim",G37-G13)</f>
        <v>No supera cost elegible màxim</v>
      </c>
    </row>
    <row r="45" spans="1:9" ht="15.75" thickBot="1">
      <c r="A45" s="67" t="s">
        <v>51</v>
      </c>
      <c r="B45" s="42">
        <f>C6</f>
        <v>0.7</v>
      </c>
      <c r="C45" s="52">
        <f>IF(B7="SI",IF(C43*C6&gt;25000,25000,C43*C6),IF(C43*C6&gt;100000,100000,C43*C6))</f>
        <v>0</v>
      </c>
      <c r="D45" s="53">
        <f>IF(B7="SI",IF(D43*C6&gt;25000,25000,D43*C6),IF(D43*C6&gt;100000,100000,D43*C6))</f>
        <v>0</v>
      </c>
      <c r="E45" s="42">
        <f>C6</f>
        <v>0.7</v>
      </c>
      <c r="F45" s="52">
        <f>IF(B7="SI",IF(F43*C6&gt;25000,25000,F43*C6),IF(F43*C6&gt;100000,100000,F43*C6))</f>
        <v>0</v>
      </c>
      <c r="G45" s="53">
        <f>IF(B7="SI",IF(G43*C6&gt;25000,25000,G43*C6),IF(G43*C6&gt;100000,100000,G43*C6))</f>
        <v>0</v>
      </c>
    </row>
    <row r="46" spans="1:9">
      <c r="G46" s="7"/>
    </row>
    <row r="47" spans="1:9" ht="60">
      <c r="A47" s="6" t="s">
        <v>124</v>
      </c>
      <c r="G47" s="7"/>
    </row>
    <row r="48" spans="1:9">
      <c r="A48" s="6"/>
      <c r="G48" s="7"/>
    </row>
    <row r="49" spans="1:9">
      <c r="A49" s="17" t="s">
        <v>54</v>
      </c>
      <c r="B49"/>
      <c r="C49"/>
      <c r="D49"/>
      <c r="E49"/>
      <c r="F49" s="7"/>
      <c r="G49" s="7"/>
    </row>
    <row r="50" spans="1:9">
      <c r="A50"/>
      <c r="B50"/>
      <c r="C50"/>
      <c r="D50"/>
      <c r="E50"/>
    </row>
    <row r="51" spans="1:9">
      <c r="A51" s="1" t="s">
        <v>89</v>
      </c>
      <c r="B51"/>
      <c r="C51"/>
      <c r="D51"/>
      <c r="E51"/>
      <c r="I51" s="8"/>
    </row>
    <row r="52" spans="1:9">
      <c r="A52" s="23" t="s">
        <v>30</v>
      </c>
      <c r="B52" s="23" t="s">
        <v>103</v>
      </c>
      <c r="C52" s="23" t="s">
        <v>102</v>
      </c>
      <c r="D52" s="23" t="s">
        <v>86</v>
      </c>
      <c r="E52" s="23" t="s">
        <v>87</v>
      </c>
    </row>
    <row r="53" spans="1:9">
      <c r="A53" s="24" t="s">
        <v>88</v>
      </c>
      <c r="B53" s="25">
        <v>1130</v>
      </c>
      <c r="C53" s="11">
        <v>130</v>
      </c>
      <c r="D53" s="25">
        <v>1000</v>
      </c>
      <c r="E53" s="25">
        <v>0</v>
      </c>
      <c r="I53" s="8"/>
    </row>
    <row r="54" spans="1:9">
      <c r="A54" s="72" t="s">
        <v>101</v>
      </c>
      <c r="B54" s="25">
        <v>1580</v>
      </c>
      <c r="C54" s="11">
        <v>130</v>
      </c>
      <c r="D54" s="25">
        <v>1000</v>
      </c>
      <c r="E54" s="25">
        <v>450</v>
      </c>
    </row>
    <row r="55" spans="1:9">
      <c r="A55" s="6"/>
      <c r="D55" s="8"/>
      <c r="E55" s="8"/>
    </row>
    <row r="56" spans="1:9">
      <c r="A56" s="4" t="s">
        <v>90</v>
      </c>
      <c r="D56" s="8"/>
      <c r="E56" s="8"/>
    </row>
    <row r="57" spans="1:9">
      <c r="A57" s="23" t="s">
        <v>0</v>
      </c>
      <c r="B57" s="23" t="s">
        <v>1</v>
      </c>
      <c r="D57" s="8"/>
      <c r="E57" s="8"/>
    </row>
    <row r="58" spans="1:9">
      <c r="A58" s="11" t="s">
        <v>2</v>
      </c>
      <c r="B58" s="26">
        <v>0.4</v>
      </c>
      <c r="D58" s="8"/>
      <c r="E58" s="8"/>
    </row>
    <row r="59" spans="1:9">
      <c r="A59" s="11" t="s">
        <v>11</v>
      </c>
      <c r="B59" s="26">
        <v>0.5</v>
      </c>
      <c r="C59"/>
      <c r="D59"/>
      <c r="E59"/>
    </row>
    <row r="60" spans="1:9">
      <c r="A60" s="11" t="s">
        <v>12</v>
      </c>
      <c r="B60" s="26">
        <v>0.6</v>
      </c>
      <c r="C60"/>
      <c r="D60"/>
      <c r="E60"/>
    </row>
    <row r="61" spans="1:9">
      <c r="A61" s="11" t="s">
        <v>143</v>
      </c>
      <c r="B61" s="26">
        <v>0.7</v>
      </c>
      <c r="C61"/>
      <c r="D61"/>
      <c r="E61"/>
    </row>
  </sheetData>
  <sheetProtection password="DF14" sheet="1" objects="1" scenarios="1" selectLockedCells="1"/>
  <mergeCells count="4">
    <mergeCell ref="B9:D9"/>
    <mergeCell ref="E9:G9"/>
    <mergeCell ref="B20:D20"/>
    <mergeCell ref="E20:G20"/>
  </mergeCells>
  <dataValidations count="7">
    <dataValidation type="decimal" operator="lessThanOrEqual" allowBlank="1" showInputMessage="1" showErrorMessage="1" errorTitle="Excés" error="Cost unitari complementari subvencionable màxim." sqref="D28">
      <formula1>D15</formula1>
    </dataValidation>
    <dataValidation type="decimal" operator="lessThanOrEqual" allowBlank="1" showInputMessage="1" showErrorMessage="1" errorTitle="Excés" error="Cost unitari màxim subvencionable nous sistemes de distribució i elements terminals." sqref="C18">
      <formula1>D16</formula1>
    </dataValidation>
    <dataValidation type="decimal" operator="lessThanOrEqual" allowBlank="1" showInputMessage="1" showErrorMessage="1" errorTitle="Excés" error="Cost unitari màxim subvencionable nous sistemes de distribució i elements terminals." sqref="D18">
      <formula1>D16</formula1>
    </dataValidation>
    <dataValidation type="list" allowBlank="1" showInputMessage="1" showErrorMessage="1" sqref="B7">
      <formula1>"SI,NO"</formula1>
    </dataValidation>
    <dataValidation operator="lessThanOrEqual" allowBlank="1" showInputMessage="1" showErrorMessage="1" sqref="D17 G17"/>
    <dataValidation type="list" allowBlank="1" showInputMessage="1" showErrorMessage="1" sqref="F10 C10">
      <formula1>$A$53:$A$54</formula1>
    </dataValidation>
    <dataValidation type="list" allowBlank="1" showInputMessage="1" showErrorMessage="1" sqref="C5">
      <formula1>$A$58:$A$61</formula1>
    </dataValidation>
  </dataValidations>
  <pageMargins left="0.7" right="0.7" top="0.75" bottom="0.75" header="0.3" footer="0.3"/>
  <pageSetup paperSize="9" scale="67" orientation="portrait" r:id="rId1"/>
  <colBreaks count="1" manualBreakCount="1">
    <brk id="7" max="3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6"/>
  <sheetViews>
    <sheetView topLeftCell="A4" zoomScaleNormal="100" workbookViewId="0">
      <selection activeCell="A32" sqref="A32"/>
    </sheetView>
  </sheetViews>
  <sheetFormatPr baseColWidth="10" defaultColWidth="11.42578125" defaultRowHeight="15"/>
  <cols>
    <col min="1" max="1" width="76.5703125" style="2" bestFit="1" customWidth="1"/>
    <col min="2" max="2" width="9.42578125" style="2" bestFit="1" customWidth="1"/>
    <col min="3" max="3" width="42.7109375" style="2" customWidth="1"/>
    <col min="4" max="4" width="38.42578125" style="2" customWidth="1"/>
    <col min="5" max="5" width="9.42578125" style="2" bestFit="1" customWidth="1"/>
    <col min="6" max="6" width="43.7109375" style="2" bestFit="1" customWidth="1"/>
    <col min="7" max="7" width="35.7109375" style="2" bestFit="1" customWidth="1"/>
    <col min="8" max="8" width="41.7109375" style="2" customWidth="1"/>
    <col min="9" max="11" width="11.42578125" style="2"/>
    <col min="12" max="12" width="42" style="2" customWidth="1"/>
    <col min="13" max="13" width="18.140625" style="2" customWidth="1"/>
    <col min="14" max="14" width="11.42578125" style="2"/>
    <col min="15" max="15" width="39" style="2" bestFit="1" customWidth="1"/>
    <col min="16" max="16" width="3" style="2" bestFit="1" customWidth="1"/>
    <col min="17" max="16384" width="11.42578125" style="2"/>
  </cols>
  <sheetData>
    <row r="1" spans="1:7" ht="26.25">
      <c r="A1" s="9" t="s">
        <v>3</v>
      </c>
      <c r="B1" s="9"/>
      <c r="C1" s="9" t="s">
        <v>78</v>
      </c>
      <c r="E1" s="9"/>
      <c r="F1" s="9"/>
    </row>
    <row r="2" spans="1:7" ht="26.25">
      <c r="B2" s="9"/>
      <c r="E2" s="9"/>
      <c r="F2" s="9"/>
    </row>
    <row r="3" spans="1:7" ht="23.25">
      <c r="A3" s="88" t="s">
        <v>112</v>
      </c>
    </row>
    <row r="4" spans="1:7" ht="23.25">
      <c r="A4" s="88"/>
    </row>
    <row r="5" spans="1:7">
      <c r="A5" s="21" t="s">
        <v>56</v>
      </c>
      <c r="B5" s="22"/>
      <c r="C5" s="87" t="s">
        <v>143</v>
      </c>
    </row>
    <row r="6" spans="1:7">
      <c r="A6" s="21" t="s">
        <v>57</v>
      </c>
      <c r="B6" s="22"/>
      <c r="C6" s="20">
        <f>VLOOKUP(C5,'Programa 3'!$A$53:$B56,2,FALSE)</f>
        <v>0.45</v>
      </c>
      <c r="E6" s="3"/>
      <c r="F6" s="3"/>
    </row>
    <row r="7" spans="1:7">
      <c r="A7" s="89"/>
      <c r="B7" s="93"/>
      <c r="C7" s="94"/>
      <c r="E7" s="3"/>
      <c r="F7" s="3"/>
    </row>
    <row r="8" spans="1:7" ht="15.75" thickBot="1">
      <c r="C8" s="16"/>
      <c r="E8" s="3"/>
      <c r="F8" s="3"/>
    </row>
    <row r="9" spans="1:7" ht="19.5" thickBot="1">
      <c r="A9" s="54"/>
      <c r="B9" s="124" t="s">
        <v>8</v>
      </c>
      <c r="C9" s="125"/>
      <c r="D9" s="126"/>
      <c r="E9" s="127" t="s">
        <v>9</v>
      </c>
      <c r="F9" s="128"/>
      <c r="G9" s="129"/>
    </row>
    <row r="10" spans="1:7">
      <c r="A10" s="55" t="s">
        <v>116</v>
      </c>
      <c r="B10" s="29"/>
      <c r="C10" s="19" t="s">
        <v>119</v>
      </c>
      <c r="D10" s="30"/>
      <c r="E10" s="99"/>
      <c r="F10" s="100" t="s">
        <v>119</v>
      </c>
      <c r="G10" s="101"/>
    </row>
    <row r="11" spans="1:7">
      <c r="A11" s="55" t="s">
        <v>131</v>
      </c>
      <c r="B11" s="31" t="s">
        <v>132</v>
      </c>
      <c r="C11" s="75">
        <v>10</v>
      </c>
      <c r="D11" s="30"/>
      <c r="E11" s="92" t="s">
        <v>132</v>
      </c>
      <c r="F11" s="75">
        <v>10</v>
      </c>
      <c r="G11" s="30"/>
    </row>
    <row r="12" spans="1:7">
      <c r="A12" s="55" t="s">
        <v>121</v>
      </c>
      <c r="B12" s="31" t="s">
        <v>120</v>
      </c>
      <c r="C12" s="75">
        <v>10</v>
      </c>
      <c r="D12" s="96" t="str">
        <f>IF(OR(AND($C$10=A49,C12&lt;=10),AND($C$10=A48,C12&gt;10,C12&lt;=100),AND($C$10=A47,C12&gt;100)),"","Capacitat incorrecta")</f>
        <v/>
      </c>
      <c r="E12" s="31" t="s">
        <v>120</v>
      </c>
      <c r="F12" s="75">
        <v>10</v>
      </c>
      <c r="G12" s="96" t="str">
        <f>IF(OR(AND($F$10=A49,F12&lt;=10),AND($F$10=A48,F12&gt;10,F12&lt;=100),AND($F$10=A47,F12&gt;100)),"","Capacitat incorrecta")</f>
        <v/>
      </c>
    </row>
    <row r="13" spans="1:7">
      <c r="A13" s="55"/>
      <c r="B13" s="33"/>
      <c r="C13" s="12" t="s">
        <v>36</v>
      </c>
      <c r="D13" s="34" t="s">
        <v>37</v>
      </c>
      <c r="E13" s="35"/>
      <c r="F13" s="12" t="s">
        <v>36</v>
      </c>
      <c r="G13" s="34" t="s">
        <v>37</v>
      </c>
    </row>
    <row r="14" spans="1:7">
      <c r="A14" s="66" t="s">
        <v>144</v>
      </c>
      <c r="B14" s="31" t="s">
        <v>115</v>
      </c>
      <c r="C14" s="91">
        <f>IF(D12="Capacitat incorrecta",0,VLOOKUP(C10,$A$47:$B$49,2,FALSE))</f>
        <v>910</v>
      </c>
      <c r="D14" s="38">
        <f>IF(C12&gt;200,C14*200,C14*C12)</f>
        <v>9100</v>
      </c>
      <c r="E14" s="86" t="s">
        <v>115</v>
      </c>
      <c r="F14" s="91">
        <f>IF(G12="Capacitat incorrecta",0,VLOOKUP(F10,$A$47:$E$49,2,FALSE))</f>
        <v>910</v>
      </c>
      <c r="G14" s="38">
        <f>IF(F12&gt;200,F14*200,F14*F12)</f>
        <v>9100</v>
      </c>
    </row>
    <row r="15" spans="1:7">
      <c r="A15" s="56"/>
      <c r="B15" s="39"/>
      <c r="C15" s="15"/>
      <c r="D15" s="36"/>
      <c r="E15" s="43"/>
      <c r="F15" s="13"/>
      <c r="G15" s="30"/>
    </row>
    <row r="16" spans="1:7" ht="15.75" thickBot="1">
      <c r="A16" s="55"/>
      <c r="B16" s="33"/>
      <c r="C16" s="13"/>
      <c r="D16" s="36"/>
      <c r="E16" s="43"/>
      <c r="F16" s="13"/>
      <c r="G16" s="30"/>
    </row>
    <row r="17" spans="1:7" ht="19.5" thickBot="1">
      <c r="A17" s="58" t="s">
        <v>122</v>
      </c>
      <c r="B17" s="121" t="s">
        <v>8</v>
      </c>
      <c r="C17" s="122"/>
      <c r="D17" s="123"/>
      <c r="E17" s="121" t="s">
        <v>9</v>
      </c>
      <c r="F17" s="122"/>
      <c r="G17" s="123"/>
    </row>
    <row r="18" spans="1:7">
      <c r="A18" s="59" t="s">
        <v>5</v>
      </c>
      <c r="B18" s="82" t="s">
        <v>6</v>
      </c>
      <c r="C18" s="83" t="s">
        <v>7</v>
      </c>
      <c r="D18" s="84" t="s">
        <v>10</v>
      </c>
      <c r="E18" s="82" t="s">
        <v>6</v>
      </c>
      <c r="F18" s="83" t="s">
        <v>7</v>
      </c>
      <c r="G18" s="84" t="s">
        <v>10</v>
      </c>
    </row>
    <row r="19" spans="1:7">
      <c r="A19" s="60" t="s">
        <v>123</v>
      </c>
      <c r="B19" s="78"/>
      <c r="C19" s="18"/>
      <c r="D19" s="40"/>
      <c r="E19" s="77"/>
      <c r="F19" s="18"/>
      <c r="G19" s="40"/>
    </row>
    <row r="20" spans="1:7">
      <c r="A20" s="61" t="s">
        <v>14</v>
      </c>
      <c r="B20" s="77"/>
      <c r="C20" s="18"/>
      <c r="D20" s="40"/>
      <c r="E20" s="77"/>
      <c r="F20" s="18"/>
      <c r="G20" s="40"/>
    </row>
    <row r="21" spans="1:7">
      <c r="A21" s="61" t="s">
        <v>15</v>
      </c>
      <c r="B21" s="77"/>
      <c r="C21" s="18"/>
      <c r="D21" s="40"/>
      <c r="E21" s="77"/>
      <c r="F21" s="18"/>
      <c r="G21" s="40"/>
    </row>
    <row r="22" spans="1:7">
      <c r="A22" s="61" t="s">
        <v>16</v>
      </c>
      <c r="B22" s="77"/>
      <c r="C22" s="18"/>
      <c r="D22" s="40"/>
      <c r="E22" s="77"/>
      <c r="F22" s="18"/>
      <c r="G22" s="40"/>
    </row>
    <row r="23" spans="1:7">
      <c r="A23" s="61" t="s">
        <v>17</v>
      </c>
      <c r="B23" s="77"/>
      <c r="C23" s="18"/>
      <c r="D23" s="40"/>
      <c r="E23" s="77"/>
      <c r="F23" s="18"/>
      <c r="G23" s="40"/>
    </row>
    <row r="24" spans="1:7">
      <c r="A24" s="60" t="s">
        <v>18</v>
      </c>
      <c r="B24" s="77"/>
      <c r="C24" s="18"/>
      <c r="D24" s="40"/>
      <c r="E24" s="77"/>
      <c r="F24" s="18"/>
      <c r="G24" s="40"/>
    </row>
    <row r="25" spans="1:7">
      <c r="A25" s="60" t="s">
        <v>19</v>
      </c>
      <c r="B25" s="77"/>
      <c r="C25" s="18"/>
      <c r="D25" s="40"/>
      <c r="E25" s="77"/>
      <c r="F25" s="18"/>
      <c r="G25" s="40"/>
    </row>
    <row r="26" spans="1:7">
      <c r="A26" s="60" t="s">
        <v>20</v>
      </c>
      <c r="B26" s="77"/>
      <c r="C26" s="18"/>
      <c r="D26" s="40"/>
      <c r="E26" s="77"/>
      <c r="F26" s="18"/>
      <c r="G26" s="40"/>
    </row>
    <row r="27" spans="1:7">
      <c r="A27" s="60" t="s">
        <v>21</v>
      </c>
      <c r="B27" s="77"/>
      <c r="C27" s="18"/>
      <c r="D27" s="40"/>
      <c r="E27" s="77"/>
      <c r="F27" s="18"/>
      <c r="G27" s="40"/>
    </row>
    <row r="28" spans="1:7">
      <c r="A28" s="60" t="s">
        <v>22</v>
      </c>
      <c r="B28" s="77"/>
      <c r="C28" s="18"/>
      <c r="D28" s="40"/>
      <c r="E28" s="77"/>
      <c r="F28" s="18"/>
      <c r="G28" s="40"/>
    </row>
    <row r="29" spans="1:7">
      <c r="A29" s="60" t="s">
        <v>23</v>
      </c>
      <c r="B29" s="77"/>
      <c r="C29" s="18"/>
      <c r="D29" s="40"/>
      <c r="E29" s="77"/>
      <c r="F29" s="18"/>
      <c r="G29" s="40"/>
    </row>
    <row r="30" spans="1:7">
      <c r="A30" s="60" t="s">
        <v>24</v>
      </c>
      <c r="B30" s="77"/>
      <c r="C30" s="18"/>
      <c r="D30" s="40"/>
      <c r="E30" s="77"/>
      <c r="F30" s="18"/>
      <c r="G30" s="40"/>
    </row>
    <row r="31" spans="1:7">
      <c r="A31" s="63"/>
      <c r="B31" s="77"/>
      <c r="C31" s="18"/>
      <c r="D31" s="40"/>
      <c r="E31" s="77"/>
      <c r="F31" s="18"/>
      <c r="G31" s="40"/>
    </row>
    <row r="32" spans="1:7">
      <c r="A32" s="63"/>
      <c r="B32" s="77"/>
      <c r="C32" s="18"/>
      <c r="D32" s="40"/>
      <c r="E32" s="77"/>
      <c r="F32" s="18"/>
      <c r="G32" s="40"/>
    </row>
    <row r="33" spans="1:9">
      <c r="A33" s="65" t="s">
        <v>107</v>
      </c>
      <c r="B33" s="41"/>
      <c r="C33" s="76">
        <f>SUM(C19:C32)</f>
        <v>0</v>
      </c>
      <c r="D33" s="81">
        <f>SUM(D19:D32)</f>
        <v>0</v>
      </c>
      <c r="E33" s="44"/>
      <c r="F33" s="76">
        <f>SUM(F19:F32)</f>
        <v>0</v>
      </c>
      <c r="G33" s="81">
        <f>SUM(G19:G32)</f>
        <v>0</v>
      </c>
    </row>
    <row r="34" spans="1:9">
      <c r="A34" s="64" t="s">
        <v>47</v>
      </c>
      <c r="B34" s="31" t="s">
        <v>127</v>
      </c>
      <c r="C34" s="48">
        <f>C33/C12</f>
        <v>0</v>
      </c>
      <c r="D34" s="51">
        <f>D33/C12</f>
        <v>0</v>
      </c>
      <c r="E34" s="31" t="s">
        <v>127</v>
      </c>
      <c r="F34" s="48">
        <f>F33/F12</f>
        <v>0</v>
      </c>
      <c r="G34" s="51">
        <f>G33/F12</f>
        <v>0</v>
      </c>
    </row>
    <row r="35" spans="1:9">
      <c r="A35" s="65"/>
      <c r="B35" s="31"/>
      <c r="C35" s="46" t="s">
        <v>108</v>
      </c>
      <c r="D35" s="49" t="s">
        <v>109</v>
      </c>
      <c r="E35" s="31"/>
      <c r="F35" s="46" t="s">
        <v>108</v>
      </c>
      <c r="G35" s="49" t="s">
        <v>109</v>
      </c>
    </row>
    <row r="36" spans="1:9">
      <c r="A36" s="55" t="s">
        <v>133</v>
      </c>
      <c r="B36" s="31" t="s">
        <v>126</v>
      </c>
      <c r="C36" s="48">
        <f>IF(C34&gt;C14,C14,C34)</f>
        <v>0</v>
      </c>
      <c r="D36" s="48">
        <f>IF(D34&gt;C14,C14,D34)</f>
        <v>0</v>
      </c>
      <c r="E36" s="86" t="s">
        <v>126</v>
      </c>
      <c r="F36" s="48">
        <f>IF(F34&gt;F14,F14,F34)</f>
        <v>0</v>
      </c>
      <c r="G36" s="51">
        <f>IF(G34&gt;F14,F14,G34)</f>
        <v>0</v>
      </c>
      <c r="I36" s="10"/>
    </row>
    <row r="37" spans="1:9">
      <c r="A37" s="66" t="s">
        <v>134</v>
      </c>
      <c r="B37" s="31" t="s">
        <v>128</v>
      </c>
      <c r="C37" s="47">
        <f>IF(C12&gt;200,C36*200,C36*C12)</f>
        <v>0</v>
      </c>
      <c r="D37" s="47">
        <f>IF(C12&gt;200,D36*200,D36*C12)</f>
        <v>0</v>
      </c>
      <c r="E37" s="86" t="s">
        <v>128</v>
      </c>
      <c r="F37" s="47">
        <f>IF(F12&gt;200,F36*200,F36*F12)</f>
        <v>0</v>
      </c>
      <c r="G37" s="50">
        <f>IF(F12&gt;200,G36*200,G36*F12)</f>
        <v>0</v>
      </c>
      <c r="H37" s="5"/>
      <c r="I37" s="5"/>
    </row>
    <row r="38" spans="1:9">
      <c r="A38" s="55" t="s">
        <v>50</v>
      </c>
      <c r="B38" s="33"/>
      <c r="C38" s="48" t="str">
        <f>IF(C33-D14&lt;0,"No supera cost subvencionable màxim",C33-D14)</f>
        <v>No supera cost subvencionable màxim</v>
      </c>
      <c r="D38" s="51" t="str">
        <f>IF(D33-D14&lt;0,"No supera cost subvencionable màxim",D33-D14)</f>
        <v>No supera cost subvencionable màxim</v>
      </c>
      <c r="E38" s="45"/>
      <c r="F38" s="48" t="str">
        <f>IF(F33-G14&lt;0,"No supera cost subvencionable màxim",F33-G14)</f>
        <v>No supera cost subvencionable màxim</v>
      </c>
      <c r="G38" s="51" t="str">
        <f>IF(G33-G14&lt;0,"No supera cost subvencionable màxim",G33-G14)</f>
        <v>No supera cost subvencionable màxim</v>
      </c>
    </row>
    <row r="39" spans="1:9" ht="15.75" thickBot="1">
      <c r="A39" s="67" t="s">
        <v>51</v>
      </c>
      <c r="B39" s="42">
        <f>C6</f>
        <v>0.45</v>
      </c>
      <c r="C39" s="52">
        <f>IF(C37*C6&gt;300000,300000,C37*C6)</f>
        <v>0</v>
      </c>
      <c r="D39" s="53">
        <f>IF(D37*C6&gt;300000,300000,D37*C6)</f>
        <v>0</v>
      </c>
      <c r="E39" s="42">
        <f>C6</f>
        <v>0.45</v>
      </c>
      <c r="F39" s="52">
        <f>IF(F37*C6&gt;300000,300000,F37*C6)</f>
        <v>0</v>
      </c>
      <c r="G39" s="53">
        <f>IF(G37*C6&gt;300000,300000,G37*C6)</f>
        <v>0</v>
      </c>
    </row>
    <row r="40" spans="1:9">
      <c r="G40" s="7"/>
    </row>
    <row r="41" spans="1:9">
      <c r="G41" s="7"/>
    </row>
    <row r="42" spans="1:9">
      <c r="F42" s="7"/>
      <c r="G42" s="7"/>
    </row>
    <row r="43" spans="1:9">
      <c r="A43" s="17" t="s">
        <v>54</v>
      </c>
      <c r="B43"/>
      <c r="C43"/>
      <c r="D43"/>
      <c r="E43"/>
      <c r="F43" s="7"/>
      <c r="G43" s="7"/>
    </row>
    <row r="44" spans="1:9">
      <c r="A44"/>
      <c r="B44"/>
      <c r="C44"/>
      <c r="D44"/>
      <c r="E44"/>
    </row>
    <row r="45" spans="1:9">
      <c r="A45" s="1" t="s">
        <v>113</v>
      </c>
      <c r="B45"/>
      <c r="C45"/>
      <c r="D45"/>
      <c r="E45"/>
      <c r="I45" s="8"/>
    </row>
    <row r="46" spans="1:9">
      <c r="A46" s="23" t="s">
        <v>116</v>
      </c>
      <c r="B46" s="23" t="s">
        <v>115</v>
      </c>
      <c r="C46" s="12"/>
      <c r="D46" s="12"/>
      <c r="E46" s="12"/>
    </row>
    <row r="47" spans="1:9">
      <c r="A47" s="24" t="s">
        <v>117</v>
      </c>
      <c r="B47" s="25">
        <v>455</v>
      </c>
      <c r="C47" s="89"/>
      <c r="D47" s="90"/>
      <c r="E47" s="90"/>
      <c r="I47" s="8"/>
    </row>
    <row r="48" spans="1:9">
      <c r="A48" s="24" t="s">
        <v>118</v>
      </c>
      <c r="B48" s="25">
        <v>650</v>
      </c>
      <c r="C48" s="89"/>
      <c r="D48" s="90"/>
      <c r="E48" s="90"/>
    </row>
    <row r="49" spans="1:9">
      <c r="A49" s="24" t="s">
        <v>119</v>
      </c>
      <c r="B49" s="25">
        <v>910</v>
      </c>
      <c r="C49" s="89"/>
      <c r="D49" s="90"/>
      <c r="E49" s="90"/>
      <c r="I49" s="8"/>
    </row>
    <row r="50" spans="1:9">
      <c r="A50" s="6"/>
      <c r="D50" s="8"/>
      <c r="E50" s="8"/>
    </row>
    <row r="51" spans="1:9">
      <c r="A51" s="4" t="s">
        <v>114</v>
      </c>
      <c r="D51" s="8"/>
      <c r="E51" s="8"/>
    </row>
    <row r="52" spans="1:9">
      <c r="A52" s="23" t="s">
        <v>0</v>
      </c>
      <c r="B52" s="23" t="s">
        <v>1</v>
      </c>
      <c r="D52" s="8"/>
      <c r="E52" s="8"/>
    </row>
    <row r="53" spans="1:9">
      <c r="A53" s="11" t="s">
        <v>2</v>
      </c>
      <c r="B53" s="26">
        <v>0.3</v>
      </c>
      <c r="D53" s="8"/>
      <c r="E53" s="8"/>
    </row>
    <row r="54" spans="1:9">
      <c r="A54" s="11" t="s">
        <v>11</v>
      </c>
      <c r="B54" s="26">
        <v>0.35</v>
      </c>
      <c r="C54"/>
      <c r="D54"/>
      <c r="E54"/>
    </row>
    <row r="55" spans="1:9">
      <c r="A55" s="11" t="s">
        <v>12</v>
      </c>
      <c r="B55" s="26">
        <v>0.4</v>
      </c>
      <c r="C55"/>
      <c r="D55"/>
      <c r="E55"/>
    </row>
    <row r="56" spans="1:9">
      <c r="A56" s="11" t="s">
        <v>143</v>
      </c>
      <c r="B56" s="26">
        <v>0.45</v>
      </c>
      <c r="C56"/>
      <c r="D56"/>
      <c r="E56"/>
    </row>
  </sheetData>
  <sheetProtection password="DF94" sheet="1" objects="1" scenarios="1" selectLockedCells="1"/>
  <mergeCells count="4">
    <mergeCell ref="B9:D9"/>
    <mergeCell ref="E9:G9"/>
    <mergeCell ref="B17:D17"/>
    <mergeCell ref="E17:G17"/>
  </mergeCells>
  <dataValidations count="5">
    <dataValidation type="custom" allowBlank="1" showErrorMessage="1" errorTitle="Capacitat" error="Corregir Capacitat Cap" sqref="C12">
      <formula1>OR(AND($C$10=A49,C12&lt;=10),AND($C$10=A48,C12&gt;10,C12&lt;=100),AND($C$10=A47,C12&gt;100))</formula1>
    </dataValidation>
    <dataValidation type="custom" allowBlank="1" showErrorMessage="1" errorTitle="Capacitat " error="Corregir capacitat Cap" sqref="F12">
      <formula1>OR(AND($F$10=A49,F12&lt;=10),AND($F$10=A48,F12&gt;10,F12&lt;=100),AND($F$10=A47,F12&gt;100))</formula1>
    </dataValidation>
    <dataValidation type="list" allowBlank="1" showInputMessage="1" showErrorMessage="1" sqref="C10 F10">
      <formula1>$A$47:$A$49</formula1>
    </dataValidation>
    <dataValidation type="list" allowBlank="1" showInputMessage="1" showErrorMessage="1" sqref="C5">
      <formula1>$A$53:$A$56</formula1>
    </dataValidation>
    <dataValidation type="decimal" operator="lessThanOrEqual" allowBlank="1" showInputMessage="1" showErrorMessage="1" errorTitle="Potència" error="La potència total instal·lada de la instal·lació, incloses les ampliacions, ha de ser menor o igual a 500 kW." sqref="C11 F11">
      <formula1>500</formula1>
    </dataValidation>
  </dataValidations>
  <pageMargins left="0.7" right="0.7" top="0.75" bottom="0.75" header="0.3" footer="0.3"/>
  <pageSetup paperSize="9" scale="67" orientation="portrait" r:id="rId1"/>
  <colBreaks count="1" manualBreakCount="1">
    <brk id="7" max="3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4"/>
  <sheetViews>
    <sheetView zoomScaleNormal="100" workbookViewId="0">
      <selection activeCell="A27" sqref="A27"/>
    </sheetView>
  </sheetViews>
  <sheetFormatPr baseColWidth="10" defaultColWidth="11.42578125" defaultRowHeight="15"/>
  <cols>
    <col min="1" max="1" width="94.42578125" style="2" bestFit="1" customWidth="1"/>
    <col min="2" max="2" width="9.42578125" style="2" bestFit="1" customWidth="1"/>
    <col min="3" max="3" width="42.7109375" style="2" customWidth="1"/>
    <col min="4" max="4" width="38.42578125" style="2" customWidth="1"/>
    <col min="5" max="5" width="9.42578125" style="2" bestFit="1" customWidth="1"/>
    <col min="6" max="6" width="43.7109375" style="2" bestFit="1" customWidth="1"/>
    <col min="7" max="7" width="35.7109375" style="2" bestFit="1" customWidth="1"/>
    <col min="8" max="8" width="41.7109375" style="2" customWidth="1"/>
    <col min="9" max="11" width="11.42578125" style="2"/>
    <col min="12" max="12" width="42" style="2" customWidth="1"/>
    <col min="13" max="13" width="18.140625" style="2" customWidth="1"/>
    <col min="14" max="14" width="11.42578125" style="2"/>
    <col min="15" max="15" width="39" style="2" bestFit="1" customWidth="1"/>
    <col min="16" max="16" width="3" style="2" bestFit="1" customWidth="1"/>
    <col min="17" max="16384" width="11.42578125" style="2"/>
  </cols>
  <sheetData>
    <row r="1" spans="1:7" ht="26.25">
      <c r="A1" s="9" t="s">
        <v>3</v>
      </c>
      <c r="B1" s="9"/>
      <c r="C1" s="9" t="s">
        <v>78</v>
      </c>
      <c r="E1" s="9"/>
      <c r="F1" s="9"/>
    </row>
    <row r="2" spans="1:7" ht="26.25">
      <c r="B2" s="9"/>
      <c r="E2" s="9"/>
      <c r="F2" s="9"/>
    </row>
    <row r="3" spans="1:7" ht="23.25">
      <c r="A3" s="88" t="s">
        <v>136</v>
      </c>
    </row>
    <row r="4" spans="1:7" ht="23.25">
      <c r="A4" s="88"/>
    </row>
    <row r="5" spans="1:7">
      <c r="A5" s="21" t="s">
        <v>56</v>
      </c>
      <c r="B5" s="22"/>
      <c r="C5" s="87" t="s">
        <v>143</v>
      </c>
    </row>
    <row r="6" spans="1:7">
      <c r="A6" s="21" t="s">
        <v>57</v>
      </c>
      <c r="B6" s="22"/>
      <c r="C6" s="20">
        <f>VLOOKUP(C5,'Programa 4'!$A$41:$B44,2,FALSE)</f>
        <v>0.7</v>
      </c>
      <c r="E6" s="3"/>
      <c r="F6" s="3"/>
    </row>
    <row r="7" spans="1:7">
      <c r="A7" s="21" t="s">
        <v>137</v>
      </c>
      <c r="B7" s="70" t="s">
        <v>97</v>
      </c>
      <c r="C7" s="20" t="str">
        <f>IF(B7="SI",IF(C5=A44,"Ajut limitat a 2.500 €","Tipus d'empresa mal sel·leccionada"),"Ajut limitat a 12.000 €")</f>
        <v>Ajut limitat a 12.000 €</v>
      </c>
      <c r="E7" s="3"/>
      <c r="F7" s="3"/>
    </row>
    <row r="8" spans="1:7" ht="15.75" thickBot="1">
      <c r="C8" s="16"/>
      <c r="E8" s="3"/>
      <c r="F8" s="3"/>
    </row>
    <row r="9" spans="1:7" ht="19.5" thickBot="1">
      <c r="A9" s="54"/>
      <c r="B9" s="124" t="s">
        <v>8</v>
      </c>
      <c r="C9" s="125"/>
      <c r="D9" s="126"/>
      <c r="E9" s="127" t="s">
        <v>9</v>
      </c>
      <c r="F9" s="128"/>
      <c r="G9" s="129"/>
    </row>
    <row r="10" spans="1:7">
      <c r="A10" s="55" t="s">
        <v>139</v>
      </c>
      <c r="B10" s="31" t="s">
        <v>132</v>
      </c>
      <c r="C10" s="75">
        <v>10</v>
      </c>
      <c r="D10" s="30"/>
      <c r="E10" s="92" t="s">
        <v>132</v>
      </c>
      <c r="F10" s="75">
        <v>10</v>
      </c>
      <c r="G10" s="30"/>
    </row>
    <row r="11" spans="1:7">
      <c r="A11" s="56"/>
      <c r="B11" s="39"/>
      <c r="C11" s="15"/>
      <c r="D11" s="36"/>
      <c r="E11" s="43"/>
      <c r="F11" s="13"/>
      <c r="G11" s="30"/>
    </row>
    <row r="12" spans="1:7" ht="15.75" thickBot="1">
      <c r="A12" s="55"/>
      <c r="B12" s="33"/>
      <c r="C12" s="13"/>
      <c r="D12" s="36"/>
      <c r="E12" s="43"/>
      <c r="F12" s="13"/>
      <c r="G12" s="30"/>
    </row>
    <row r="13" spans="1:7" ht="19.5" thickBot="1">
      <c r="A13" s="58" t="s">
        <v>142</v>
      </c>
      <c r="B13" s="121" t="s">
        <v>8</v>
      </c>
      <c r="C13" s="122"/>
      <c r="D13" s="123"/>
      <c r="E13" s="121" t="s">
        <v>9</v>
      </c>
      <c r="F13" s="122"/>
      <c r="G13" s="123"/>
    </row>
    <row r="14" spans="1:7">
      <c r="A14" s="59" t="s">
        <v>5</v>
      </c>
      <c r="B14" s="82" t="s">
        <v>6</v>
      </c>
      <c r="C14" s="83" t="s">
        <v>7</v>
      </c>
      <c r="D14" s="84" t="s">
        <v>10</v>
      </c>
      <c r="E14" s="82" t="s">
        <v>6</v>
      </c>
      <c r="F14" s="83" t="s">
        <v>7</v>
      </c>
      <c r="G14" s="84" t="s">
        <v>10</v>
      </c>
    </row>
    <row r="15" spans="1:7">
      <c r="A15" s="60" t="s">
        <v>138</v>
      </c>
      <c r="B15" s="78"/>
      <c r="C15" s="18"/>
      <c r="D15" s="40"/>
      <c r="E15" s="77"/>
      <c r="F15" s="18"/>
      <c r="G15" s="40"/>
    </row>
    <row r="16" spans="1:7">
      <c r="A16" s="61" t="s">
        <v>15</v>
      </c>
      <c r="B16" s="77"/>
      <c r="C16" s="18"/>
      <c r="D16" s="40"/>
      <c r="E16" s="77"/>
      <c r="F16" s="18"/>
      <c r="G16" s="40"/>
    </row>
    <row r="17" spans="1:9">
      <c r="A17" s="61" t="s">
        <v>16</v>
      </c>
      <c r="B17" s="77"/>
      <c r="C17" s="18"/>
      <c r="D17" s="40"/>
      <c r="E17" s="77"/>
      <c r="F17" s="18"/>
      <c r="G17" s="40"/>
    </row>
    <row r="18" spans="1:9">
      <c r="A18" s="61" t="s">
        <v>17</v>
      </c>
      <c r="B18" s="77"/>
      <c r="C18" s="18"/>
      <c r="D18" s="40"/>
      <c r="E18" s="77"/>
      <c r="F18" s="18"/>
      <c r="G18" s="40"/>
    </row>
    <row r="19" spans="1:9">
      <c r="A19" s="60" t="s">
        <v>18</v>
      </c>
      <c r="B19" s="77"/>
      <c r="C19" s="18"/>
      <c r="D19" s="40"/>
      <c r="E19" s="77"/>
      <c r="F19" s="18"/>
      <c r="G19" s="40"/>
    </row>
    <row r="20" spans="1:9">
      <c r="A20" s="60" t="s">
        <v>19</v>
      </c>
      <c r="B20" s="77"/>
      <c r="C20" s="18"/>
      <c r="D20" s="40"/>
      <c r="E20" s="77"/>
      <c r="F20" s="18"/>
      <c r="G20" s="40"/>
    </row>
    <row r="21" spans="1:9">
      <c r="A21" s="60" t="s">
        <v>20</v>
      </c>
      <c r="B21" s="77"/>
      <c r="C21" s="18"/>
      <c r="D21" s="40"/>
      <c r="E21" s="77"/>
      <c r="F21" s="18"/>
      <c r="G21" s="40"/>
    </row>
    <row r="22" spans="1:9">
      <c r="A22" s="60" t="s">
        <v>21</v>
      </c>
      <c r="B22" s="77"/>
      <c r="C22" s="18"/>
      <c r="D22" s="40"/>
      <c r="E22" s="77"/>
      <c r="F22" s="18"/>
      <c r="G22" s="40"/>
    </row>
    <row r="23" spans="1:9">
      <c r="A23" s="60" t="s">
        <v>22</v>
      </c>
      <c r="B23" s="77"/>
      <c r="C23" s="18"/>
      <c r="D23" s="40"/>
      <c r="E23" s="77"/>
      <c r="F23" s="18"/>
      <c r="G23" s="40"/>
    </row>
    <row r="24" spans="1:9">
      <c r="A24" s="60" t="s">
        <v>23</v>
      </c>
      <c r="B24" s="77"/>
      <c r="C24" s="18"/>
      <c r="D24" s="40"/>
      <c r="E24" s="77"/>
      <c r="F24" s="18"/>
      <c r="G24" s="40"/>
    </row>
    <row r="25" spans="1:9">
      <c r="A25" s="60" t="s">
        <v>24</v>
      </c>
      <c r="B25" s="77"/>
      <c r="C25" s="18"/>
      <c r="D25" s="40"/>
      <c r="E25" s="77"/>
      <c r="F25" s="18"/>
      <c r="G25" s="40"/>
    </row>
    <row r="26" spans="1:9">
      <c r="A26" s="63"/>
      <c r="B26" s="77"/>
      <c r="C26" s="18"/>
      <c r="D26" s="40"/>
      <c r="E26" s="77"/>
      <c r="F26" s="18"/>
      <c r="G26" s="40"/>
    </row>
    <row r="27" spans="1:9">
      <c r="A27" s="63"/>
      <c r="B27" s="77"/>
      <c r="C27" s="18"/>
      <c r="D27" s="40"/>
      <c r="E27" s="77"/>
      <c r="F27" s="18"/>
      <c r="G27" s="40"/>
    </row>
    <row r="28" spans="1:9">
      <c r="A28" s="65" t="s">
        <v>107</v>
      </c>
      <c r="B28" s="41"/>
      <c r="C28" s="76">
        <f>SUM(C15:C27)</f>
        <v>0</v>
      </c>
      <c r="D28" s="81">
        <f>SUM(D15:D27)</f>
        <v>0</v>
      </c>
      <c r="E28" s="44"/>
      <c r="F28" s="76">
        <f>SUM(F15:F27)</f>
        <v>0</v>
      </c>
      <c r="G28" s="81">
        <f>SUM(G15:G27)</f>
        <v>0</v>
      </c>
    </row>
    <row r="29" spans="1:9" s="1" customFormat="1">
      <c r="A29" s="64" t="s">
        <v>47</v>
      </c>
      <c r="B29" s="31"/>
      <c r="C29" s="47">
        <f>C28/C10</f>
        <v>0</v>
      </c>
      <c r="D29" s="50">
        <f>D28/C10</f>
        <v>0</v>
      </c>
      <c r="E29" s="31"/>
      <c r="F29" s="47">
        <f>F28/F10</f>
        <v>0</v>
      </c>
      <c r="G29" s="50">
        <f>G28/F10</f>
        <v>0</v>
      </c>
    </row>
    <row r="30" spans="1:9">
      <c r="A30" s="65"/>
      <c r="B30" s="31"/>
      <c r="C30" s="46" t="s">
        <v>108</v>
      </c>
      <c r="D30" s="49" t="s">
        <v>109</v>
      </c>
      <c r="E30" s="31"/>
      <c r="F30" s="46" t="s">
        <v>108</v>
      </c>
      <c r="G30" s="49" t="s">
        <v>109</v>
      </c>
    </row>
    <row r="31" spans="1:9">
      <c r="A31" s="66" t="s">
        <v>48</v>
      </c>
      <c r="B31" s="31"/>
      <c r="C31" s="47">
        <f>C28</f>
        <v>0</v>
      </c>
      <c r="D31" s="47">
        <f>D28</f>
        <v>0</v>
      </c>
      <c r="E31" s="86"/>
      <c r="F31" s="47">
        <f>F28</f>
        <v>0</v>
      </c>
      <c r="G31" s="50">
        <f>G28</f>
        <v>0</v>
      </c>
      <c r="H31" s="5"/>
      <c r="I31" s="5"/>
    </row>
    <row r="32" spans="1:9">
      <c r="A32" s="55" t="s">
        <v>140</v>
      </c>
      <c r="B32" s="31"/>
      <c r="C32" s="48">
        <f>C29</f>
        <v>0</v>
      </c>
      <c r="D32" s="51">
        <f>D29</f>
        <v>0</v>
      </c>
      <c r="E32" s="86"/>
      <c r="F32" s="48">
        <f>F29</f>
        <v>0</v>
      </c>
      <c r="G32" s="51">
        <f>G29</f>
        <v>0</v>
      </c>
      <c r="I32" s="10"/>
    </row>
    <row r="33" spans="1:7" ht="15.75" thickBot="1">
      <c r="A33" s="67" t="s">
        <v>51</v>
      </c>
      <c r="B33" s="42">
        <f>C6</f>
        <v>0.7</v>
      </c>
      <c r="C33" s="52">
        <f>IF(B7="SI",IF(C31*C6&gt;2500,2500,C31*C6),IF(C31*C6&gt;12000,12000,C31*C6))</f>
        <v>0</v>
      </c>
      <c r="D33" s="53">
        <f>IF(B7="SI",IF(D31*C6&gt;2500,2500,D31*C6),IF(D31*C6&gt;12000,12000,D31*C6))</f>
        <v>0</v>
      </c>
      <c r="E33" s="42">
        <f>C6</f>
        <v>0.7</v>
      </c>
      <c r="F33" s="52">
        <f>IF(B7="SI",IF(F31*C6&gt;2500,2500,F31*C6),IF(F31*C6&gt;12000,12000,F31*C6))</f>
        <v>0</v>
      </c>
      <c r="G33" s="53">
        <f>IF(B7="SI",IF(G31*C6&gt;2500,2500,G31*C6),IF(G31*C6&gt;12000,12000,G31*C6))</f>
        <v>0</v>
      </c>
    </row>
    <row r="34" spans="1:7">
      <c r="G34" s="7"/>
    </row>
    <row r="35" spans="1:7">
      <c r="G35" s="7"/>
    </row>
    <row r="36" spans="1:7">
      <c r="F36" s="7"/>
      <c r="G36" s="7"/>
    </row>
    <row r="37" spans="1:7">
      <c r="A37" s="17" t="s">
        <v>54</v>
      </c>
      <c r="B37"/>
      <c r="C37"/>
      <c r="D37"/>
      <c r="E37"/>
      <c r="F37" s="7"/>
      <c r="G37" s="7"/>
    </row>
    <row r="38" spans="1:7">
      <c r="A38"/>
      <c r="B38"/>
      <c r="C38"/>
      <c r="D38"/>
      <c r="E38"/>
    </row>
    <row r="39" spans="1:7">
      <c r="A39" s="4" t="s">
        <v>141</v>
      </c>
      <c r="D39" s="8"/>
      <c r="E39" s="8"/>
    </row>
    <row r="40" spans="1:7">
      <c r="A40" s="23" t="s">
        <v>0</v>
      </c>
      <c r="B40" s="23" t="s">
        <v>1</v>
      </c>
      <c r="D40" s="8"/>
      <c r="E40" s="8"/>
    </row>
    <row r="41" spans="1:7">
      <c r="A41" s="11" t="s">
        <v>2</v>
      </c>
      <c r="B41" s="26">
        <v>0.2</v>
      </c>
      <c r="D41" s="8"/>
      <c r="E41" s="8"/>
    </row>
    <row r="42" spans="1:7">
      <c r="A42" s="11" t="s">
        <v>11</v>
      </c>
      <c r="B42" s="26">
        <v>0.3</v>
      </c>
      <c r="C42"/>
      <c r="D42"/>
      <c r="E42"/>
    </row>
    <row r="43" spans="1:7">
      <c r="A43" s="11" t="s">
        <v>12</v>
      </c>
      <c r="B43" s="26">
        <v>0.4</v>
      </c>
      <c r="C43"/>
      <c r="D43"/>
      <c r="E43"/>
    </row>
    <row r="44" spans="1:7">
      <c r="A44" s="11" t="s">
        <v>143</v>
      </c>
      <c r="B44" s="26">
        <v>0.7</v>
      </c>
      <c r="C44"/>
      <c r="D44"/>
      <c r="E44"/>
    </row>
  </sheetData>
  <sheetProtection password="DC14" sheet="1" objects="1" scenarios="1" selectLockedCells="1"/>
  <mergeCells count="4">
    <mergeCell ref="B9:D9"/>
    <mergeCell ref="E9:G9"/>
    <mergeCell ref="B13:D13"/>
    <mergeCell ref="E13:G13"/>
  </mergeCells>
  <dataValidations count="3">
    <dataValidation type="decimal" operator="lessThanOrEqual" allowBlank="1" showInputMessage="1" showErrorMessage="1" errorTitle="Potència" error="Són subvencionables les inversions en nova infraestructura de recàrrega d'accés privat de potència fins 15 kW." sqref="F10 C10">
      <formula1>15</formula1>
    </dataValidation>
    <dataValidation type="list" allowBlank="1" showInputMessage="1" showErrorMessage="1" sqref="C5">
      <formula1>$A$41:$A$44</formula1>
    </dataValidation>
    <dataValidation type="list" allowBlank="1" showInputMessage="1" showErrorMessage="1" sqref="B7">
      <formula1>"SI,NO"</formula1>
    </dataValidation>
  </dataValidations>
  <pageMargins left="0.7" right="0.7" top="0.75" bottom="0.75" header="0.3" footer="0.3"/>
  <pageSetup paperSize="9" scale="67" orientation="portrait" r:id="rId1"/>
  <colBreaks count="1" manualBreakCount="1">
    <brk id="7" max="3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547EA90F71443837268004635B05D" ma:contentTypeVersion="15" ma:contentTypeDescription="Crea un document nou" ma:contentTypeScope="" ma:versionID="91487aaef5e7e1f5e2fa2c7fb1d40c61">
  <xsd:schema xmlns:xsd="http://www.w3.org/2001/XMLSchema" xmlns:xs="http://www.w3.org/2001/XMLSchema" xmlns:p="http://schemas.microsoft.com/office/2006/metadata/properties" xmlns:ns2="1481b64c-d1ba-41b1-9a65-625d31fff0bb" xmlns:ns3="51deb843-d53c-4f8e-b6ae-1d7f0d153c77" targetNamespace="http://schemas.microsoft.com/office/2006/metadata/properties" ma:root="true" ma:fieldsID="6d8a2e29e14ef2225763ec270f2c5418" ns2:_="" ns3:_="">
    <xsd:import namespace="1481b64c-d1ba-41b1-9a65-625d31fff0bb"/>
    <xsd:import namespace="51deb843-d53c-4f8e-b6ae-1d7f0d153c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1b64c-d1ba-41b1-9a65-625d31fff0b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9" nillable="true" ma:displayName="Taxonomy Catch All Column" ma:hidden="true" ma:list="{ab41bdf6-8f26-474c-92d8-fef4988d2b45}" ma:internalName="TaxCatchAll" ma:showField="CatchAllData" ma:web="1481b64c-d1ba-41b1-9a65-625d31fff0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eb843-d53c-4f8e-b6ae-1d7f0d153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deb843-d53c-4f8e-b6ae-1d7f0d153c77">
      <Terms xmlns="http://schemas.microsoft.com/office/infopath/2007/PartnerControls"/>
    </lcf76f155ced4ddcb4097134ff3c332f>
    <TaxCatchAll xmlns="1481b64c-d1ba-41b1-9a65-625d31fff0bb" xsi:nil="true"/>
    <_dlc_DocId xmlns="1481b64c-d1ba-41b1-9a65-625d31fff0bb">K7W4MJYM7X6U-1861046665-1463204</_dlc_DocId>
    <_dlc_DocIdUrl xmlns="1481b64c-d1ba-41b1-9a65-625d31fff0bb">
      <Url>https://caib.sharepoint.com/sites/ARXIUS-ENERGIA/_layouts/15/DocIdRedir.aspx?ID=K7W4MJYM7X6U-1861046665-1463204</Url>
      <Description>K7W4MJYM7X6U-1861046665-1463204</Description>
    </_dlc_DocIdUrl>
  </documentManagement>
</p:properties>
</file>

<file path=customXml/itemProps1.xml><?xml version="1.0" encoding="utf-8"?>
<ds:datastoreItem xmlns:ds="http://schemas.openxmlformats.org/officeDocument/2006/customXml" ds:itemID="{79A8AEDE-3448-4191-9D26-3F299821F6B9}"/>
</file>

<file path=customXml/itemProps2.xml><?xml version="1.0" encoding="utf-8"?>
<ds:datastoreItem xmlns:ds="http://schemas.openxmlformats.org/officeDocument/2006/customXml" ds:itemID="{B03AC6C0-33B0-4CA8-A2B6-1F1DE59BFF04}"/>
</file>

<file path=customXml/itemProps3.xml><?xml version="1.0" encoding="utf-8"?>
<ds:datastoreItem xmlns:ds="http://schemas.openxmlformats.org/officeDocument/2006/customXml" ds:itemID="{1038FBC9-E5F4-4683-BBE7-F848564C3C5A}"/>
</file>

<file path=customXml/itemProps4.xml><?xml version="1.0" encoding="utf-8"?>
<ds:datastoreItem xmlns:ds="http://schemas.openxmlformats.org/officeDocument/2006/customXml" ds:itemID="{18A46DB7-C3B1-466A-BAC0-FBEE276FD2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Instruccions</vt:lpstr>
      <vt:lpstr>Programa 1</vt:lpstr>
      <vt:lpstr>Programa 2</vt:lpstr>
      <vt:lpstr>Programa 3</vt:lpstr>
      <vt:lpstr>Programa 4</vt:lpstr>
      <vt:lpstr>'Programa 1'!Área_de_impresión</vt:lpstr>
      <vt:lpstr>'Programa 2'!Área_de_impresión</vt:lpstr>
      <vt:lpstr>'Programa 3'!Área_de_impresión</vt:lpstr>
      <vt:lpstr>'Programa 4'!Área_de_impresión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u94000</dc:creator>
  <cp:lastModifiedBy>u94000</cp:lastModifiedBy>
  <cp:lastPrinted>2025-09-22T11:54:07Z</cp:lastPrinted>
  <dcterms:created xsi:type="dcterms:W3CDTF">2025-09-16T06:48:13Z</dcterms:created>
  <dcterms:modified xsi:type="dcterms:W3CDTF">2026-07-22T05:26:07Z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0x010100669547EA90F71443837268004635B05D</vt:lpwstr>
  </property>
  <property fmtid="{D5CDD505-2E9C-101B-9397-08002B2CF9AE}" pid="3" name="_dlc_DocIdItemGuid">
    <vt:lpwstr>e5fb9ee8-ec8f-41cb-b0e1-21a5d8e9ee22</vt:lpwstr>
  </property>
</Properties>
</file>